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hidePivotFieldList="1" defaultThemeVersion="124226"/>
  <mc:AlternateContent xmlns:mc="http://schemas.openxmlformats.org/markup-compatibility/2006">
    <mc:Choice Requires="x15">
      <x15ac:absPath xmlns:x15ac="http://schemas.microsoft.com/office/spreadsheetml/2010/11/ac" url="E:\1015_palvarez\documentos varios\Para Publicar\"/>
    </mc:Choice>
  </mc:AlternateContent>
  <xr:revisionPtr revIDLastSave="0" documentId="8_{7CC5D38F-E42F-45FB-9B6F-25135BAA4F36}" xr6:coauthVersionLast="36" xr6:coauthVersionMax="36" xr10:uidLastSave="{00000000-0000-0000-0000-000000000000}"/>
  <bookViews>
    <workbookView xWindow="0" yWindow="0" windowWidth="28800" windowHeight="11625"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_FilterDatabase" localSheetId="1" hidden="1">'Mapa final'!$A$6:$BO$43</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R8" i="1" l="1"/>
  <c r="R9" i="1"/>
  <c r="R10" i="1"/>
  <c r="N7" i="1" l="1"/>
  <c r="AC8" i="1"/>
  <c r="AB8" i="1" s="1"/>
  <c r="R40" i="1"/>
  <c r="R41" i="1"/>
  <c r="I40" i="1"/>
  <c r="J40" i="1" s="1"/>
  <c r="U40" i="1"/>
  <c r="U41" i="1"/>
  <c r="L40" i="1"/>
  <c r="M40" i="1" s="1"/>
  <c r="N40" i="1" s="1"/>
  <c r="L41" i="1"/>
  <c r="R31" i="1"/>
  <c r="U31" i="1"/>
  <c r="I31" i="1"/>
  <c r="J31" i="1" s="1"/>
  <c r="L31" i="1"/>
  <c r="M31" i="1" s="1"/>
  <c r="R30" i="1"/>
  <c r="U30" i="1"/>
  <c r="I30" i="1"/>
  <c r="J30" i="1" s="1"/>
  <c r="L30" i="1"/>
  <c r="M30" i="1" s="1"/>
  <c r="R34" i="1"/>
  <c r="U34" i="1"/>
  <c r="R33" i="1"/>
  <c r="R32" i="1"/>
  <c r="I32" i="1"/>
  <c r="J32" i="1" s="1"/>
  <c r="U32" i="1"/>
  <c r="U33" i="1"/>
  <c r="L32" i="1"/>
  <c r="M32" i="1" s="1"/>
  <c r="L34" i="1"/>
  <c r="M34" i="1" s="1"/>
  <c r="N34" i="1" s="1"/>
  <c r="I34" i="1"/>
  <c r="R42" i="1"/>
  <c r="R38" i="1"/>
  <c r="R37" i="1"/>
  <c r="R36" i="1"/>
  <c r="R35" i="1"/>
  <c r="I35" i="1"/>
  <c r="J35" i="1" s="1"/>
  <c r="U35" i="1"/>
  <c r="U36" i="1"/>
  <c r="U37" i="1"/>
  <c r="U42" i="1"/>
  <c r="U38" i="1"/>
  <c r="L35" i="1"/>
  <c r="M35" i="1" s="1"/>
  <c r="U39" i="1"/>
  <c r="R39" i="1"/>
  <c r="L38" i="1"/>
  <c r="M38" i="1" s="1"/>
  <c r="I38" i="1"/>
  <c r="J38" i="1" s="1"/>
  <c r="L42" i="1"/>
  <c r="M42" i="1" s="1"/>
  <c r="N42" i="1" s="1"/>
  <c r="I42" i="1"/>
  <c r="J42" i="1" s="1"/>
  <c r="I36" i="1"/>
  <c r="J36" i="1" s="1"/>
  <c r="L36" i="1"/>
  <c r="M36" i="1" s="1"/>
  <c r="N36" i="1" s="1"/>
  <c r="I33" i="1"/>
  <c r="J33" i="1" s="1"/>
  <c r="L33" i="1"/>
  <c r="M33" i="1" s="1"/>
  <c r="N33" i="1" s="1"/>
  <c r="L29" i="1"/>
  <c r="L28" i="1"/>
  <c r="M28" i="1" s="1"/>
  <c r="N28" i="1" s="1"/>
  <c r="I28" i="1"/>
  <c r="J28" i="1" s="1"/>
  <c r="I26" i="1"/>
  <c r="J26" i="1" s="1"/>
  <c r="L26" i="1"/>
  <c r="M26" i="1" s="1"/>
  <c r="R26" i="1"/>
  <c r="U26" i="1"/>
  <c r="L27" i="1"/>
  <c r="R27" i="1"/>
  <c r="U27" i="1"/>
  <c r="R28" i="1"/>
  <c r="U28" i="1"/>
  <c r="R29" i="1"/>
  <c r="U29" i="1"/>
  <c r="U7" i="1"/>
  <c r="R7" i="1"/>
  <c r="I7" i="1"/>
  <c r="J7" i="1" s="1"/>
  <c r="L23" i="1"/>
  <c r="L10" i="1"/>
  <c r="L14" i="1"/>
  <c r="L19" i="1"/>
  <c r="L25" i="1"/>
  <c r="L16" i="1"/>
  <c r="L17" i="1"/>
  <c r="L21" i="1"/>
  <c r="F221" i="13"/>
  <c r="F211" i="13"/>
  <c r="F212" i="13"/>
  <c r="F213" i="13"/>
  <c r="F214" i="13"/>
  <c r="F215" i="13"/>
  <c r="F216" i="13"/>
  <c r="F217" i="13"/>
  <c r="F218" i="13"/>
  <c r="F219" i="13"/>
  <c r="F220" i="13"/>
  <c r="F210" i="13"/>
  <c r="L8" i="1"/>
  <c r="B221" i="13" a="1"/>
  <c r="B221" i="13"/>
  <c r="R20" i="1"/>
  <c r="R19" i="1"/>
  <c r="R16"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U25" i="1"/>
  <c r="R25" i="1"/>
  <c r="U24" i="1"/>
  <c r="R24" i="1"/>
  <c r="I24" i="1"/>
  <c r="J24" i="1" s="1"/>
  <c r="U23" i="1"/>
  <c r="R23" i="1"/>
  <c r="U22" i="1"/>
  <c r="R22" i="1"/>
  <c r="I22" i="1"/>
  <c r="J22" i="1" s="1"/>
  <c r="U21" i="1"/>
  <c r="R21" i="1"/>
  <c r="L20" i="1"/>
  <c r="U20" i="1"/>
  <c r="I20" i="1"/>
  <c r="U19" i="1"/>
  <c r="U18" i="1"/>
  <c r="R18" i="1"/>
  <c r="L18" i="1"/>
  <c r="M18" i="1" s="1"/>
  <c r="I18" i="1"/>
  <c r="J18" i="1" s="1"/>
  <c r="U17" i="1"/>
  <c r="R17" i="1"/>
  <c r="U16" i="1"/>
  <c r="U15" i="1"/>
  <c r="R15" i="1"/>
  <c r="L15" i="1"/>
  <c r="M15" i="1" s="1"/>
  <c r="N15" i="1" s="1"/>
  <c r="I15" i="1"/>
  <c r="J15" i="1" s="1"/>
  <c r="U14" i="1"/>
  <c r="R14" i="1"/>
  <c r="U13" i="1"/>
  <c r="R13" i="1"/>
  <c r="I13" i="1"/>
  <c r="J13" i="1" s="1"/>
  <c r="U12" i="1"/>
  <c r="R12" i="1"/>
  <c r="I12" i="1"/>
  <c r="J12" i="1" s="1"/>
  <c r="U11" i="1"/>
  <c r="R11" i="1"/>
  <c r="I11" i="1"/>
  <c r="J11" i="1" s="1"/>
  <c r="I9" i="1"/>
  <c r="J9" i="1" s="1"/>
  <c r="U10" i="1"/>
  <c r="Y10" i="1" s="1"/>
  <c r="U9" i="1"/>
  <c r="L24" i="1"/>
  <c r="M24" i="1" s="1"/>
  <c r="N24" i="1" s="1"/>
  <c r="L13" i="1"/>
  <c r="L22" i="1"/>
  <c r="M22"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U8" i="1"/>
  <c r="Y8" i="1" s="1"/>
  <c r="L12" i="1"/>
  <c r="M12" i="1" s="1"/>
  <c r="N12" i="1" s="1"/>
  <c r="L11" i="1"/>
  <c r="M11" i="1" s="1"/>
  <c r="O11" i="1" s="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L7" i="1"/>
  <c r="L9" i="1"/>
  <c r="M9" i="1" s="1"/>
  <c r="V8" i="18" l="1"/>
  <c r="M13" i="1"/>
  <c r="N13" i="1" s="1"/>
  <c r="N20" i="1"/>
  <c r="J20" i="1"/>
  <c r="Y21" i="1" s="1"/>
  <c r="AB36" i="18"/>
  <c r="AB16" i="18"/>
  <c r="Y9" i="1"/>
  <c r="Z9" i="1" s="1"/>
  <c r="J32" i="18"/>
  <c r="V24" i="18"/>
  <c r="AH44" i="18"/>
  <c r="AB44" i="18"/>
  <c r="J24" i="18"/>
  <c r="Z32" i="18"/>
  <c r="P32" i="18"/>
  <c r="AL40" i="18"/>
  <c r="AB32" i="18"/>
  <c r="V16" i="18"/>
  <c r="V32" i="18"/>
  <c r="P40" i="18"/>
  <c r="N32" i="18"/>
  <c r="J8" i="18"/>
  <c r="AB24" i="18"/>
  <c r="AC16" i="1"/>
  <c r="AB16" i="1" s="1"/>
  <c r="N40" i="18"/>
  <c r="T8" i="18"/>
  <c r="O24" i="1"/>
  <c r="AL16" i="18"/>
  <c r="AF40" i="18"/>
  <c r="AH12" i="18"/>
  <c r="T24" i="18"/>
  <c r="J36" i="18"/>
  <c r="Z40" i="18"/>
  <c r="T16" i="18"/>
  <c r="T40" i="18"/>
  <c r="N24" i="18"/>
  <c r="AF24" i="18"/>
  <c r="Y11" i="1"/>
  <c r="AA11" i="1" s="1"/>
  <c r="AC20" i="1"/>
  <c r="AB20" i="1" s="1"/>
  <c r="O15" i="1"/>
  <c r="T32" i="18"/>
  <c r="AL24" i="18"/>
  <c r="AF32" i="18"/>
  <c r="P44" i="18"/>
  <c r="Z24" i="18"/>
  <c r="N8" i="18"/>
  <c r="Z16" i="18"/>
  <c r="V20" i="18"/>
  <c r="AB28" i="18"/>
  <c r="Y28" i="1"/>
  <c r="Z28" i="1" s="1"/>
  <c r="Z8" i="18"/>
  <c r="AL32" i="18"/>
  <c r="AF8" i="18"/>
  <c r="AF16" i="18"/>
  <c r="N16" i="18"/>
  <c r="AL8" i="18"/>
  <c r="AH36" i="18"/>
  <c r="L18" i="18"/>
  <c r="R34" i="18"/>
  <c r="AJ18" i="18"/>
  <c r="AD10" i="18"/>
  <c r="X34" i="18"/>
  <c r="Y32" i="1"/>
  <c r="Z32" i="1" s="1"/>
  <c r="Y31" i="1"/>
  <c r="AA31" i="1" s="1"/>
  <c r="X6" i="18"/>
  <c r="O34" i="1"/>
  <c r="V22" i="18"/>
  <c r="AH38" i="18"/>
  <c r="AC7" i="1"/>
  <c r="AB7" i="1" s="1"/>
  <c r="P6" i="18"/>
  <c r="AB22" i="18"/>
  <c r="AH6" i="18"/>
  <c r="J30" i="18"/>
  <c r="J14" i="18"/>
  <c r="J38" i="18"/>
  <c r="P14" i="18"/>
  <c r="AB14" i="18"/>
  <c r="V6" i="18"/>
  <c r="V14" i="18"/>
  <c r="AB38" i="18"/>
  <c r="AB30" i="18"/>
  <c r="J22" i="18"/>
  <c r="V38" i="18"/>
  <c r="P38" i="18"/>
  <c r="J6" i="18"/>
  <c r="AB6" i="18"/>
  <c r="P22" i="18"/>
  <c r="AH14" i="18"/>
  <c r="P30" i="18"/>
  <c r="N11" i="1"/>
  <c r="T22" i="18"/>
  <c r="N38" i="18"/>
  <c r="Z30" i="18"/>
  <c r="AL22" i="18"/>
  <c r="AL14" i="18"/>
  <c r="AL30" i="18"/>
  <c r="AL6" i="18"/>
  <c r="N22" i="18"/>
  <c r="Z14" i="18"/>
  <c r="T14" i="18"/>
  <c r="T6" i="18"/>
  <c r="Z38" i="18"/>
  <c r="N6" i="18"/>
  <c r="AL38" i="18"/>
  <c r="AF22" i="18"/>
  <c r="AF14" i="18"/>
  <c r="N30" i="18"/>
  <c r="N14" i="18"/>
  <c r="Z6" i="18"/>
  <c r="AF6" i="18"/>
  <c r="Z22" i="18"/>
  <c r="T38" i="18"/>
  <c r="AF38" i="18"/>
  <c r="AF30" i="18"/>
  <c r="T30" i="18"/>
  <c r="N18" i="1"/>
  <c r="AH34" i="18"/>
  <c r="V26" i="18"/>
  <c r="O18" i="1"/>
  <c r="J26" i="18"/>
  <c r="P34" i="18"/>
  <c r="P10" i="18"/>
  <c r="AB34" i="18"/>
  <c r="P26" i="18"/>
  <c r="V34" i="18"/>
  <c r="V10" i="18"/>
  <c r="P42" i="18"/>
  <c r="AH18" i="18"/>
  <c r="AH10" i="18"/>
  <c r="AH42" i="18"/>
  <c r="J42" i="18"/>
  <c r="V42" i="18"/>
  <c r="J34" i="18"/>
  <c r="P18" i="18"/>
  <c r="V18" i="18"/>
  <c r="AB18" i="18"/>
  <c r="AB26" i="18"/>
  <c r="AB10" i="18"/>
  <c r="AB42" i="18"/>
  <c r="AH26" i="18"/>
  <c r="J10" i="18"/>
  <c r="J18" i="18"/>
  <c r="N22" i="1"/>
  <c r="AL26" i="18"/>
  <c r="AL18" i="18"/>
  <c r="AL42" i="18"/>
  <c r="T18" i="18"/>
  <c r="AF18" i="18"/>
  <c r="AF10" i="18"/>
  <c r="Z42" i="18"/>
  <c r="AF26" i="18"/>
  <c r="N10" i="18"/>
  <c r="N34" i="18"/>
  <c r="Z10" i="18"/>
  <c r="T42" i="18"/>
  <c r="AF34" i="18"/>
  <c r="N18" i="18"/>
  <c r="Z26" i="18"/>
  <c r="N42" i="18"/>
  <c r="Z34" i="18"/>
  <c r="AF42" i="18"/>
  <c r="T26" i="18"/>
  <c r="AL34" i="18"/>
  <c r="Z18" i="18"/>
  <c r="T34" i="18"/>
  <c r="T10" i="18"/>
  <c r="AL10" i="18"/>
  <c r="N26" i="18"/>
  <c r="O22" i="1"/>
  <c r="Y22" i="1"/>
  <c r="AA22" i="1" s="1"/>
  <c r="Y23" i="1" s="1"/>
  <c r="AB20" i="18"/>
  <c r="P36" i="18"/>
  <c r="P28" i="18"/>
  <c r="AJ26" i="18"/>
  <c r="X42" i="18"/>
  <c r="Y30" i="1"/>
  <c r="AA30" i="1" s="1"/>
  <c r="Y7" i="1"/>
  <c r="AA7" i="1" s="1"/>
  <c r="J12" i="18"/>
  <c r="V28" i="18"/>
  <c r="P20" i="18"/>
  <c r="J44" i="18"/>
  <c r="AJ10" i="18"/>
  <c r="Y12" i="1"/>
  <c r="Z12" i="1" s="1"/>
  <c r="Y15" i="1"/>
  <c r="Z15" i="1" s="1"/>
  <c r="V12" i="18"/>
  <c r="AB12" i="18"/>
  <c r="J20" i="18"/>
  <c r="R18" i="18"/>
  <c r="Y20" i="1"/>
  <c r="Z20" i="1" s="1"/>
  <c r="Y24" i="1"/>
  <c r="Z24" i="1" s="1"/>
  <c r="V36" i="18"/>
  <c r="J28" i="18"/>
  <c r="AH20" i="18"/>
  <c r="X26" i="18"/>
  <c r="X18" i="18"/>
  <c r="Y26" i="1"/>
  <c r="AA26" i="1" s="1"/>
  <c r="Y27" i="1" s="1"/>
  <c r="Y35" i="1"/>
  <c r="AA35" i="1" s="1"/>
  <c r="Y36" i="1" s="1"/>
  <c r="AH28" i="18"/>
  <c r="V44" i="18"/>
  <c r="P12" i="18"/>
  <c r="L34" i="18"/>
  <c r="AD26" i="18"/>
  <c r="R22" i="18"/>
  <c r="L6" i="18"/>
  <c r="AJ38" i="18"/>
  <c r="R6" i="18"/>
  <c r="R30" i="18"/>
  <c r="X14" i="18"/>
  <c r="AJ22" i="18"/>
  <c r="X22" i="18"/>
  <c r="L30" i="18"/>
  <c r="X30" i="18"/>
  <c r="X38" i="18"/>
  <c r="R38" i="18"/>
  <c r="L14" i="18"/>
  <c r="AD38" i="18"/>
  <c r="AJ14" i="18"/>
  <c r="L22" i="18"/>
  <c r="AJ30" i="18"/>
  <c r="AD22" i="18"/>
  <c r="AD6" i="18"/>
  <c r="L38" i="18"/>
  <c r="AJ6" i="18"/>
  <c r="AD30" i="18"/>
  <c r="AD14" i="18"/>
  <c r="R14" i="18"/>
  <c r="N9" i="1"/>
  <c r="AC9" i="1" s="1"/>
  <c r="O9" i="1"/>
  <c r="N35" i="1"/>
  <c r="O35" i="1"/>
  <c r="O30" i="1"/>
  <c r="N30" i="1"/>
  <c r="AH22" i="18"/>
  <c r="AH30" i="18"/>
  <c r="V30" i="18"/>
  <c r="AB8" i="18"/>
  <c r="AH16" i="18"/>
  <c r="J16" i="18"/>
  <c r="AD18" i="18"/>
  <c r="X10" i="18"/>
  <c r="AD34" i="18"/>
  <c r="O38" i="1"/>
  <c r="N38" i="1"/>
  <c r="AA20" i="1"/>
  <c r="R42" i="18"/>
  <c r="R26" i="18"/>
  <c r="L26" i="18"/>
  <c r="O31" i="1"/>
  <c r="N31" i="1"/>
  <c r="O12" i="1"/>
  <c r="AH8" i="18"/>
  <c r="V40" i="18"/>
  <c r="AB40" i="18"/>
  <c r="R10" i="18"/>
  <c r="AJ34" i="18"/>
  <c r="L42" i="18"/>
  <c r="O42" i="1"/>
  <c r="AH40" i="18"/>
  <c r="P16" i="18"/>
  <c r="AH32" i="18"/>
  <c r="P8" i="18"/>
  <c r="AH24" i="18"/>
  <c r="P24" i="18"/>
  <c r="J40" i="18"/>
  <c r="AJ42" i="18"/>
  <c r="AD42" i="18"/>
  <c r="L10" i="18"/>
  <c r="Y13" i="1"/>
  <c r="N32" i="1"/>
  <c r="O32" i="1"/>
  <c r="N26" i="1"/>
  <c r="O26" i="1"/>
  <c r="O33" i="1"/>
  <c r="Y40" i="1"/>
  <c r="J34" i="1"/>
  <c r="Y18" i="1"/>
  <c r="O40" i="1"/>
  <c r="O28" i="1"/>
  <c r="O36" i="1"/>
  <c r="AA28" i="1" l="1"/>
  <c r="Y29" i="1" s="1"/>
  <c r="AA29" i="1" s="1"/>
  <c r="Z35" i="1"/>
  <c r="Z11" i="1"/>
  <c r="Z21" i="1"/>
  <c r="AA21" i="1"/>
  <c r="X8" i="18"/>
  <c r="L24" i="18"/>
  <c r="R24" i="18"/>
  <c r="AJ32" i="18"/>
  <c r="AD8" i="18"/>
  <c r="X16" i="18"/>
  <c r="R16" i="18"/>
  <c r="AJ8" i="18"/>
  <c r="L16" i="18"/>
  <c r="X40" i="18"/>
  <c r="X32" i="18"/>
  <c r="R8" i="18"/>
  <c r="R40" i="18"/>
  <c r="L40" i="18"/>
  <c r="AD16" i="18"/>
  <c r="R32" i="18"/>
  <c r="X24" i="18"/>
  <c r="AD40" i="18"/>
  <c r="AD32" i="18"/>
  <c r="L32" i="18"/>
  <c r="AJ40" i="18"/>
  <c r="AJ16" i="18"/>
  <c r="L8" i="18"/>
  <c r="AJ24" i="18"/>
  <c r="AD24" i="18"/>
  <c r="O13" i="1"/>
  <c r="AA32" i="1"/>
  <c r="Y33" i="1" s="1"/>
  <c r="AA33" i="1" s="1"/>
  <c r="Y34" i="1" s="1"/>
  <c r="O20" i="1"/>
  <c r="AC21" i="1"/>
  <c r="AC22" i="1" s="1"/>
  <c r="AB22" i="1" s="1"/>
  <c r="AC17" i="1"/>
  <c r="AB17" i="1" s="1"/>
  <c r="Z31" i="1"/>
  <c r="AD20" i="1"/>
  <c r="Z22" i="1"/>
  <c r="AA12" i="1"/>
  <c r="Z26" i="1"/>
  <c r="Z7" i="1"/>
  <c r="AD7" i="1" s="1"/>
  <c r="AA24" i="1"/>
  <c r="Y25" i="1" s="1"/>
  <c r="AA25" i="1" s="1"/>
  <c r="Z30" i="1"/>
  <c r="AA9" i="1"/>
  <c r="AA15" i="1"/>
  <c r="Z36" i="1"/>
  <c r="AA36" i="1"/>
  <c r="Y37" i="1" s="1"/>
  <c r="AB53" i="19"/>
  <c r="P53" i="19"/>
  <c r="AH53" i="19"/>
  <c r="V33" i="19"/>
  <c r="V43" i="19"/>
  <c r="P23" i="19"/>
  <c r="V13" i="19"/>
  <c r="J43" i="19"/>
  <c r="P33" i="19"/>
  <c r="AH23" i="19"/>
  <c r="V23" i="19"/>
  <c r="J33" i="19"/>
  <c r="AB43" i="19"/>
  <c r="AH43" i="19"/>
  <c r="AH33" i="19"/>
  <c r="J23" i="19"/>
  <c r="AB13" i="19"/>
  <c r="P43" i="19"/>
  <c r="P13" i="19"/>
  <c r="J53" i="19"/>
  <c r="AH13" i="19"/>
  <c r="V53" i="19"/>
  <c r="AB33" i="19"/>
  <c r="AB23" i="19"/>
  <c r="J13" i="19"/>
  <c r="AB9" i="1"/>
  <c r="P47" i="19" s="1"/>
  <c r="AC10" i="1"/>
  <c r="AA8" i="1"/>
  <c r="Z8" i="1"/>
  <c r="AD8" i="1" s="1"/>
  <c r="Z10" i="1"/>
  <c r="AA10" i="1"/>
  <c r="Z40" i="1"/>
  <c r="AA40" i="1"/>
  <c r="Y41" i="1" s="1"/>
  <c r="Z29" i="1"/>
  <c r="AA23" i="1"/>
  <c r="Z23" i="1"/>
  <c r="Z13" i="1"/>
  <c r="AA13" i="1"/>
  <c r="Y14" i="1" s="1"/>
  <c r="Z27" i="1"/>
  <c r="AA27" i="1"/>
  <c r="AA18" i="1"/>
  <c r="Y19" i="1" s="1"/>
  <c r="Z18" i="1"/>
  <c r="Z33" i="1" l="1"/>
  <c r="V7" i="19"/>
  <c r="J24" i="19"/>
  <c r="AH47" i="19"/>
  <c r="J44" i="19"/>
  <c r="AB47" i="19"/>
  <c r="V47" i="19"/>
  <c r="P24" i="19"/>
  <c r="AH14" i="19"/>
  <c r="J14" i="19"/>
  <c r="AB21" i="1"/>
  <c r="P7" i="19"/>
  <c r="AH44" i="19"/>
  <c r="P44" i="19"/>
  <c r="AH34" i="19"/>
  <c r="AC23" i="1"/>
  <c r="AC24" i="1" s="1"/>
  <c r="P14" i="19"/>
  <c r="V34" i="19"/>
  <c r="AH27" i="19"/>
  <c r="AB17" i="19"/>
  <c r="P37" i="19"/>
  <c r="AB24" i="19"/>
  <c r="AH24" i="19"/>
  <c r="AC18" i="1"/>
  <c r="AB18" i="1" s="1"/>
  <c r="AD18" i="1" s="1"/>
  <c r="V54" i="19"/>
  <c r="AB14" i="19"/>
  <c r="AH54" i="19"/>
  <c r="AD22" i="1"/>
  <c r="AB7" i="19"/>
  <c r="AB44" i="19"/>
  <c r="AD9" i="1"/>
  <c r="V27" i="19"/>
  <c r="V24" i="19"/>
  <c r="AB27" i="19"/>
  <c r="J47" i="19"/>
  <c r="J54" i="19"/>
  <c r="V44" i="19"/>
  <c r="P54" i="19"/>
  <c r="AB34" i="19"/>
  <c r="J37" i="19"/>
  <c r="P27" i="19"/>
  <c r="P34" i="19"/>
  <c r="AB54" i="19"/>
  <c r="J34" i="19"/>
  <c r="V14" i="19"/>
  <c r="AH7" i="19"/>
  <c r="AH26" i="19"/>
  <c r="P16" i="19"/>
  <c r="AH46" i="19"/>
  <c r="V6" i="19"/>
  <c r="V36" i="19"/>
  <c r="AH16" i="19"/>
  <c r="P36" i="19"/>
  <c r="P46" i="19"/>
  <c r="AH36" i="19"/>
  <c r="AB36" i="19"/>
  <c r="J26" i="19"/>
  <c r="J6" i="19"/>
  <c r="AB46" i="19"/>
  <c r="P6" i="19"/>
  <c r="V46" i="19"/>
  <c r="V16" i="19"/>
  <c r="V26" i="19"/>
  <c r="J16" i="19"/>
  <c r="AB16" i="19"/>
  <c r="AB6" i="19"/>
  <c r="P26" i="19"/>
  <c r="AB26" i="19"/>
  <c r="J36" i="19"/>
  <c r="AH6" i="19"/>
  <c r="J46" i="19"/>
  <c r="AB10" i="1"/>
  <c r="Q27" i="19" s="1"/>
  <c r="AC11" i="1"/>
  <c r="V17" i="19"/>
  <c r="J27" i="19"/>
  <c r="AB37" i="19"/>
  <c r="J17" i="19"/>
  <c r="P17" i="19"/>
  <c r="AH37" i="19"/>
  <c r="AH17" i="19"/>
  <c r="V37" i="19"/>
  <c r="J7" i="19"/>
  <c r="Z25" i="1"/>
  <c r="Y17" i="1"/>
  <c r="Y16" i="1"/>
  <c r="Z14" i="1"/>
  <c r="AA14" i="1"/>
  <c r="Q46" i="19"/>
  <c r="K6" i="19"/>
  <c r="W46" i="19"/>
  <c r="AC26" i="19"/>
  <c r="Q16" i="19"/>
  <c r="AI36" i="19"/>
  <c r="K46" i="19"/>
  <c r="Q6" i="19"/>
  <c r="AC6" i="19"/>
  <c r="W26" i="19"/>
  <c r="AI46" i="19"/>
  <c r="AI6" i="19"/>
  <c r="AC36" i="19"/>
  <c r="AC46" i="19"/>
  <c r="Q36" i="19"/>
  <c r="AI16" i="19"/>
  <c r="AC16" i="19"/>
  <c r="W6" i="19"/>
  <c r="W16" i="19"/>
  <c r="W36" i="19"/>
  <c r="Q26" i="19"/>
  <c r="K26" i="19"/>
  <c r="K16" i="19"/>
  <c r="AI26" i="19"/>
  <c r="K36" i="19"/>
  <c r="Z34" i="1"/>
  <c r="AA34" i="1"/>
  <c r="Z37" i="1"/>
  <c r="AA37" i="1"/>
  <c r="Y42" i="1" s="1"/>
  <c r="AA19" i="1"/>
  <c r="Z19" i="1"/>
  <c r="Z41" i="1"/>
  <c r="AA41" i="1"/>
  <c r="AH32" i="19" l="1"/>
  <c r="J42" i="19"/>
  <c r="P32" i="19"/>
  <c r="AH22" i="19"/>
  <c r="J32" i="19"/>
  <c r="V42" i="19"/>
  <c r="AH12" i="19"/>
  <c r="J12" i="19"/>
  <c r="P42" i="19"/>
  <c r="V12" i="19"/>
  <c r="AB42" i="19"/>
  <c r="AC27" i="19"/>
  <c r="AB12" i="19"/>
  <c r="AB22" i="19"/>
  <c r="V22" i="19"/>
  <c r="AI27" i="19"/>
  <c r="V32" i="19"/>
  <c r="J22" i="19"/>
  <c r="V52" i="19"/>
  <c r="Q17" i="19"/>
  <c r="AH52" i="19"/>
  <c r="P22" i="19"/>
  <c r="AB52" i="19"/>
  <c r="J52" i="19"/>
  <c r="AB32" i="19"/>
  <c r="K47" i="19"/>
  <c r="P12" i="19"/>
  <c r="P52" i="19"/>
  <c r="AH42" i="19"/>
  <c r="Q37" i="19"/>
  <c r="AB23" i="1"/>
  <c r="Q24" i="19" s="1"/>
  <c r="AC19" i="1"/>
  <c r="AB19" i="1" s="1"/>
  <c r="AD19" i="1" s="1"/>
  <c r="AB24" i="1"/>
  <c r="AC25" i="1"/>
  <c r="AD21" i="1"/>
  <c r="W53" i="19"/>
  <c r="K23" i="19"/>
  <c r="AI53" i="19"/>
  <c r="AC53" i="19"/>
  <c r="AI23" i="19"/>
  <c r="AC23" i="19"/>
  <c r="AI43" i="19"/>
  <c r="Q23" i="19"/>
  <c r="K43" i="19"/>
  <c r="Q53" i="19"/>
  <c r="AC33" i="19"/>
  <c r="Q43" i="19"/>
  <c r="W43" i="19"/>
  <c r="Q33" i="19"/>
  <c r="AI33" i="19"/>
  <c r="AI13" i="19"/>
  <c r="K13" i="19"/>
  <c r="K33" i="19"/>
  <c r="AC43" i="19"/>
  <c r="W33" i="19"/>
  <c r="Q13" i="19"/>
  <c r="K53" i="19"/>
  <c r="W13" i="19"/>
  <c r="AC13" i="19"/>
  <c r="W23" i="19"/>
  <c r="AI17" i="19"/>
  <c r="AC7" i="19"/>
  <c r="Q47" i="19"/>
  <c r="AI47" i="19"/>
  <c r="W37" i="19"/>
  <c r="K7" i="19"/>
  <c r="W47" i="19"/>
  <c r="Q7" i="19"/>
  <c r="W27" i="19"/>
  <c r="K27" i="19"/>
  <c r="K17" i="19"/>
  <c r="AI37" i="19"/>
  <c r="W17" i="19"/>
  <c r="AC17" i="19"/>
  <c r="AC47" i="19"/>
  <c r="W7" i="19"/>
  <c r="AD10" i="1"/>
  <c r="AI7" i="19"/>
  <c r="K37" i="19"/>
  <c r="AC37" i="19"/>
  <c r="AB11" i="1"/>
  <c r="AC12" i="1"/>
  <c r="Z16" i="1"/>
  <c r="AD16" i="1" s="1"/>
  <c r="AA16" i="1"/>
  <c r="AA17" i="1"/>
  <c r="Z17" i="1"/>
  <c r="AD17" i="1" s="1"/>
  <c r="AA42" i="1"/>
  <c r="Y38" i="1" s="1"/>
  <c r="Z42" i="1"/>
  <c r="W14" i="19" l="1"/>
  <c r="W54" i="19"/>
  <c r="AC22" i="19"/>
  <c r="W34" i="19"/>
  <c r="AD23" i="1"/>
  <c r="AI34" i="19"/>
  <c r="W52" i="19"/>
  <c r="AC44" i="19"/>
  <c r="W32" i="19"/>
  <c r="K32" i="19"/>
  <c r="Q52" i="19"/>
  <c r="AC52" i="19"/>
  <c r="K22" i="19"/>
  <c r="AC12" i="19"/>
  <c r="W42" i="19"/>
  <c r="AI22" i="19"/>
  <c r="K12" i="19"/>
  <c r="AI24" i="19"/>
  <c r="Q34" i="19"/>
  <c r="Q12" i="19"/>
  <c r="AI42" i="19"/>
  <c r="Q42" i="19"/>
  <c r="Q54" i="19"/>
  <c r="AI32" i="19"/>
  <c r="W22" i="19"/>
  <c r="AI12" i="19"/>
  <c r="Q22" i="19"/>
  <c r="K52" i="19"/>
  <c r="AC42" i="19"/>
  <c r="AI52" i="19"/>
  <c r="W12" i="19"/>
  <c r="AC24" i="19"/>
  <c r="Q32" i="19"/>
  <c r="AC32" i="19"/>
  <c r="K42" i="19"/>
  <c r="AI54" i="19"/>
  <c r="K54" i="19"/>
  <c r="K14" i="19"/>
  <c r="Q44" i="19"/>
  <c r="Q14" i="19"/>
  <c r="AC14" i="19"/>
  <c r="AI44" i="19"/>
  <c r="AI14" i="19"/>
  <c r="K34" i="19"/>
  <c r="AC34" i="19"/>
  <c r="W24" i="19"/>
  <c r="K44" i="19"/>
  <c r="W44" i="19"/>
  <c r="K24" i="19"/>
  <c r="AC54" i="19"/>
  <c r="AC26" i="1"/>
  <c r="AB25" i="1"/>
  <c r="AD24" i="1"/>
  <c r="AH15" i="19"/>
  <c r="AB15" i="19"/>
  <c r="AH45" i="19"/>
  <c r="J45" i="19"/>
  <c r="AB45" i="19"/>
  <c r="V15" i="19"/>
  <c r="AH35" i="19"/>
  <c r="V25" i="19"/>
  <c r="AH25" i="19"/>
  <c r="AB55" i="19"/>
  <c r="AH55" i="19"/>
  <c r="V55" i="19"/>
  <c r="J55" i="19"/>
  <c r="P45" i="19"/>
  <c r="P55" i="19"/>
  <c r="J35" i="19"/>
  <c r="J25" i="19"/>
  <c r="AB35" i="19"/>
  <c r="J15" i="19"/>
  <c r="V45" i="19"/>
  <c r="P15" i="19"/>
  <c r="P35" i="19"/>
  <c r="V35" i="19"/>
  <c r="AB25" i="19"/>
  <c r="P25" i="19"/>
  <c r="AB12" i="1"/>
  <c r="AC13" i="1"/>
  <c r="AD11" i="1"/>
  <c r="AB48" i="19"/>
  <c r="AH28" i="19"/>
  <c r="AB28" i="19"/>
  <c r="P18" i="19"/>
  <c r="AH8" i="19"/>
  <c r="AH48" i="19"/>
  <c r="P48" i="19"/>
  <c r="V48" i="19"/>
  <c r="J8" i="19"/>
  <c r="V8" i="19"/>
  <c r="V18" i="19"/>
  <c r="V28" i="19"/>
  <c r="P8" i="19"/>
  <c r="AH18" i="19"/>
  <c r="V38" i="19"/>
  <c r="AB18" i="19"/>
  <c r="J38" i="19"/>
  <c r="AB38" i="19"/>
  <c r="P38" i="19"/>
  <c r="J48" i="19"/>
  <c r="AH38" i="19"/>
  <c r="J28" i="19"/>
  <c r="AB8" i="19"/>
  <c r="J18" i="19"/>
  <c r="P28" i="19"/>
  <c r="W41" i="19"/>
  <c r="AI31" i="19"/>
  <c r="W21" i="19"/>
  <c r="AC41" i="19"/>
  <c r="AI21" i="19"/>
  <c r="Q31" i="19"/>
  <c r="AC11" i="19"/>
  <c r="W51" i="19"/>
  <c r="K21" i="19"/>
  <c r="AC51" i="19"/>
  <c r="AI41" i="19"/>
  <c r="AI51" i="19"/>
  <c r="K31" i="19"/>
  <c r="AC31" i="19"/>
  <c r="AI11" i="19"/>
  <c r="Q41" i="19"/>
  <c r="W11" i="19"/>
  <c r="Q51" i="19"/>
  <c r="K51" i="19"/>
  <c r="K41" i="19"/>
  <c r="Q21" i="19"/>
  <c r="AC21" i="19"/>
  <c r="Q11" i="19"/>
  <c r="K11" i="19"/>
  <c r="W31" i="19"/>
  <c r="AD11" i="19"/>
  <c r="L41" i="19"/>
  <c r="AJ31" i="19"/>
  <c r="L51" i="19"/>
  <c r="AD21" i="19"/>
  <c r="AD31" i="19"/>
  <c r="X11" i="19"/>
  <c r="R21" i="19"/>
  <c r="AD51" i="19"/>
  <c r="L31" i="19"/>
  <c r="R31" i="19"/>
  <c r="L21" i="19"/>
  <c r="AJ21" i="19"/>
  <c r="R41" i="19"/>
  <c r="R51" i="19"/>
  <c r="AJ11" i="19"/>
  <c r="L11" i="19"/>
  <c r="AD41" i="19"/>
  <c r="X21" i="19"/>
  <c r="AJ41" i="19"/>
  <c r="R11" i="19"/>
  <c r="X31" i="19"/>
  <c r="X41" i="19"/>
  <c r="X51" i="19"/>
  <c r="AJ51" i="19"/>
  <c r="Z38" i="1"/>
  <c r="AA38" i="1"/>
  <c r="Y39" i="1" s="1"/>
  <c r="W35" i="19" l="1"/>
  <c r="K25" i="19"/>
  <c r="W45" i="19"/>
  <c r="AI15" i="19"/>
  <c r="W55" i="19"/>
  <c r="AC15" i="19"/>
  <c r="Q45" i="19"/>
  <c r="K55" i="19"/>
  <c r="W15" i="19"/>
  <c r="K15" i="19"/>
  <c r="W25" i="19"/>
  <c r="AI55" i="19"/>
  <c r="Q35" i="19"/>
  <c r="AC35" i="19"/>
  <c r="Q15" i="19"/>
  <c r="AI35" i="19"/>
  <c r="AI45" i="19"/>
  <c r="AI25" i="19"/>
  <c r="AC45" i="19"/>
  <c r="K45" i="19"/>
  <c r="AC55" i="19"/>
  <c r="AC25" i="19"/>
  <c r="AD25" i="1"/>
  <c r="K35" i="19"/>
  <c r="Q55" i="19"/>
  <c r="Q25" i="19"/>
  <c r="AB26" i="1"/>
  <c r="AD26" i="1" s="1"/>
  <c r="AC27" i="1"/>
  <c r="AB13" i="1"/>
  <c r="AC14" i="1"/>
  <c r="AD12" i="1"/>
  <c r="AH39" i="19"/>
  <c r="V9" i="19"/>
  <c r="AB29" i="19"/>
  <c r="AB9" i="19"/>
  <c r="J9" i="19"/>
  <c r="P29" i="19"/>
  <c r="V19" i="19"/>
  <c r="AB49" i="19"/>
  <c r="P19" i="19"/>
  <c r="P49" i="19"/>
  <c r="J19" i="19"/>
  <c r="AH49" i="19"/>
  <c r="V39" i="19"/>
  <c r="J29" i="19"/>
  <c r="V49" i="19"/>
  <c r="AH29" i="19"/>
  <c r="AH19" i="19"/>
  <c r="J49" i="19"/>
  <c r="P39" i="19"/>
  <c r="J39" i="19"/>
  <c r="P9" i="19"/>
  <c r="V29" i="19"/>
  <c r="AH9" i="19"/>
  <c r="AB19" i="19"/>
  <c r="AB39" i="19"/>
  <c r="Z39" i="1"/>
  <c r="AA39" i="1"/>
  <c r="AB27" i="1" l="1"/>
  <c r="AD27" i="1" s="1"/>
  <c r="AC28" i="1"/>
  <c r="AC15" i="1"/>
  <c r="AB15" i="1" s="1"/>
  <c r="AB14" i="1"/>
  <c r="AD13" i="1"/>
  <c r="J20" i="19"/>
  <c r="AB10" i="19"/>
  <c r="P30" i="19"/>
  <c r="J50" i="19"/>
  <c r="J30" i="19"/>
  <c r="AB50" i="19"/>
  <c r="J10" i="19"/>
  <c r="AH10" i="19"/>
  <c r="AH30" i="19"/>
  <c r="V50" i="19"/>
  <c r="AH40" i="19"/>
  <c r="AH50" i="19"/>
  <c r="V20" i="19"/>
  <c r="P40" i="19"/>
  <c r="J40" i="19"/>
  <c r="AB30" i="19"/>
  <c r="P50" i="19"/>
  <c r="V30" i="19"/>
  <c r="P20" i="19"/>
  <c r="V10" i="19"/>
  <c r="AB40" i="19"/>
  <c r="AH20" i="19"/>
  <c r="P10" i="19"/>
  <c r="AB20" i="19"/>
  <c r="V40" i="19"/>
  <c r="AC29" i="1" l="1"/>
  <c r="AB28" i="1"/>
  <c r="AD28" i="1" s="1"/>
  <c r="AD14" i="1"/>
  <c r="AI40" i="19"/>
  <c r="K10" i="19"/>
  <c r="Q10" i="19"/>
  <c r="W30" i="19"/>
  <c r="AC30" i="19"/>
  <c r="Q40" i="19"/>
  <c r="Q50" i="19"/>
  <c r="W40" i="19"/>
  <c r="Q30" i="19"/>
  <c r="K30" i="19"/>
  <c r="Q20" i="19"/>
  <c r="AC10" i="19"/>
  <c r="AI10" i="19"/>
  <c r="W10" i="19"/>
  <c r="W50" i="19"/>
  <c r="K20" i="19"/>
  <c r="W20" i="19"/>
  <c r="K50" i="19"/>
  <c r="K40" i="19"/>
  <c r="AI50" i="19"/>
  <c r="AC20" i="19"/>
  <c r="AC40" i="19"/>
  <c r="AC50" i="19"/>
  <c r="AI20" i="19"/>
  <c r="AI30" i="19"/>
  <c r="AH41" i="19"/>
  <c r="V11" i="19"/>
  <c r="AB41" i="19"/>
  <c r="P31" i="19"/>
  <c r="P21" i="19"/>
  <c r="V31" i="19"/>
  <c r="V21" i="19"/>
  <c r="P41" i="19"/>
  <c r="P11" i="19"/>
  <c r="AD15" i="1"/>
  <c r="AH21" i="19"/>
  <c r="AH51" i="19"/>
  <c r="V41" i="19"/>
  <c r="AB21" i="19"/>
  <c r="J41" i="19"/>
  <c r="J21" i="19"/>
  <c r="AB11" i="19"/>
  <c r="P51" i="19"/>
  <c r="J51" i="19"/>
  <c r="J31" i="19"/>
  <c r="V51" i="19"/>
  <c r="J11" i="19"/>
  <c r="AH31" i="19"/>
  <c r="AH11" i="19"/>
  <c r="AB51" i="19"/>
  <c r="AB31" i="19"/>
  <c r="AC30" i="1" l="1"/>
  <c r="AB29" i="1"/>
  <c r="AD29" i="1" s="1"/>
  <c r="AB30" i="1" l="1"/>
  <c r="AD30" i="1" s="1"/>
  <c r="AC31" i="1"/>
  <c r="AB31" i="1" l="1"/>
  <c r="AD31" i="1" s="1"/>
  <c r="AC32" i="1"/>
  <c r="AB32" i="1" l="1"/>
  <c r="AD32" i="1" s="1"/>
  <c r="AC33" i="1"/>
  <c r="AB33" i="1" l="1"/>
  <c r="AD33" i="1" s="1"/>
  <c r="AC34" i="1"/>
  <c r="AC35" i="1" l="1"/>
  <c r="AB34" i="1"/>
  <c r="AD34" i="1" s="1"/>
  <c r="AB35" i="1" l="1"/>
  <c r="AD35" i="1" s="1"/>
  <c r="AC36" i="1"/>
  <c r="AC37" i="1" l="1"/>
  <c r="AB36" i="1"/>
  <c r="AD36" i="1" s="1"/>
  <c r="AB37" i="1" l="1"/>
  <c r="AD37" i="1" s="1"/>
  <c r="AC38" i="1"/>
  <c r="AC39" i="1" l="1"/>
  <c r="AB38" i="1"/>
  <c r="AD38" i="1" s="1"/>
  <c r="AC40" i="1" l="1"/>
  <c r="AB39" i="1"/>
  <c r="AD39" i="1" s="1"/>
  <c r="AC41" i="1" l="1"/>
  <c r="AB40" i="1"/>
  <c r="AD40" i="1" s="1"/>
  <c r="AC42" i="1" l="1"/>
  <c r="AB42" i="1" s="1"/>
  <c r="AD42" i="1" s="1"/>
  <c r="AB41" i="1"/>
  <c r="AD41" i="1" s="1"/>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<sst xmlns="http://schemas.openxmlformats.org/spreadsheetml/2006/main" count="799" uniqueCount="354">
  <si>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</si>
  <si>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</si>
  <si>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</si>
  <si>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</si>
  <si>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</si>
  <si>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</si>
  <si>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</si>
  <si>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</si>
  <si>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</si>
  <si>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</si>
  <si>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</si>
  <si>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</si>
  <si>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</si>
  <si>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</si>
  <si>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</si>
  <si>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</si>
  <si>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</si>
  <si>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</si>
  <si>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</si>
  <si>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</si>
  <si>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</si>
  <si>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</si>
  <si>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</si>
  <si>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</si>
  <si>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</si>
  <si>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</si>
  <si>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</si>
  <si>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</si>
  <si>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</si>
  <si>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</si>
  <si>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</si>
  <si>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</si>
  <si>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</si>
  <si>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</si>
  <si>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</si>
  <si>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</si>
  <si>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</si>
  <si>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</si>
  <si>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</si>
  <si>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</si>
  <si>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</si>
  <si>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</si>
  <si>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</si>
  <si>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</si>
  <si>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</si>
  <si>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</si>
  <si>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</si>
  <si>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</si>
  <si>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</si>
  <si>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</si>
  <si>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</si>
  <si>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</si>
  <si>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</si>
  <si>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</si>
  <si>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</si>
  <si>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</si>
  <si>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</si>
  <si>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</si>
  <si>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</si>
  <si>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</si>
  <si>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</si>
  <si>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</si>
  <si>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</si>
  <si>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</si>
  <si>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</si>
  <si>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</si>
  <si>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</si>
  <si>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</si>
  <si>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</si>
  <si>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</si>
  <si>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</si>
  <si>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</si>
  <si>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</si>
  <si>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</si>
  <si>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</si>
  <si>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</si>
  <si>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</si>
  <si>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</si>
  <si>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</si>
  <si>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</si>
  <si>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</si>
  <si>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</si>
  <si>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</si>
  <si>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</si>
  <si>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</si>
  <si>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</si>
  <si>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</si>
  <si>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</si>
  <si>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</si>
  <si>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</si>
  <si>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</si>
  <si>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</si>
  <si>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</si>
  <si>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</si>
  <si>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</si>
  <si>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</si>
  <si>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</si>
  <si>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</si>
  <si>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</si>
  <si>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</si>
  <si>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</si>
  <si>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</si>
  <si>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</si>
  <si>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</si>
  <si>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</si>
  <si>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</si>
  <si>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</si>
  <si>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</si>
  <si>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</si>
  <si>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</si>
  <si>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</si>
  <si>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</si>
  <si>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</si>
  <si>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</si>
  <si>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</si>
  <si>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</si>
  <si>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</si>
  <si>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</si>
  <si>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</si>
  <si>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</si>
  <si>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</si>
  <si>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</si>
  <si>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</si>
  <si>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</si>
  <si>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</si>
  <si>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</si>
  <si>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Daños Activos Fisicos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</si>
  <si>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</si>
  <si>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</si>
  <si>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</si>
  <si>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</si>
  <si>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</si>
  <si>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</si>
  <si>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</si>
  <si>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</si>
  <si>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</si>
  <si>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</si>
  <si>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</si>
  <si>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</si>
  <si>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</si>
  <si>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</si>
  <si>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</si>
  <si>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</si>
  <si>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</si>
  <si>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</si>
  <si>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</si>
  <si>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</si>
  <si>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</si>
  <si>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</si>
  <si>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</si>
  <si>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</si>
  <si>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</si>
  <si>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</si>
  <si>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</si>
  <si>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</si>
  <si>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</si>
  <si>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</si>
  <si>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</si>
  <si>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</si>
  <si>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</si>
  <si>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</si>
  <si>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</si>
  <si>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</si>
  <si>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</si>
  <si>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</si>
  <si>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</si>
  <si>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</si>
  <si>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</si>
  <si>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</si>
  <si>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</si>
  <si>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</si>
  <si>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</si>
  <si>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</si>
  <si>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</si>
  <si>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</si>
  <si>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</si>
  <si>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</si>
  <si>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</si>
  <si>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</si>
  <si>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</si>
  <si>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</si>
  <si>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</si>
  <si>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</si>
  <si>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</si>
  <si>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</si>
  <si>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</si>
  <si>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</si>
  <si>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</si>
  <si>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</si>
  <si>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</si>
  <si>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</si>
  <si>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</si>
  <si>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</si>
  <si>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</si>
  <si>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</si>
  <si>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</si>
  <si>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</si>
  <si>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</si>
  <si>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</si>
  <si>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</si>
  <si>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</si>
  <si>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</si>
  <si>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</si>
  <si>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</si>
  <si>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</si>
  <si>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</si>
  <si>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</si>
  <si>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</si>
  <si>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</si>
  <si>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</si>
  <si>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Sobornos o cualquier tipo de dadivas a los funcionarios por la aprobación de los proyectos de inversión. </t>
  </si>
  <si>
    <t>Obtener beneficios por medio de los proyectos de inversión que se puedan implementar</t>
  </si>
  <si>
    <t>Hacer uso de los formatos correspondientes que garantizan la transparencia de los procesos</t>
  </si>
  <si>
    <t>Realizar seguimiento a la ejecución de los proyectos</t>
  </si>
  <si>
    <t>Posibilidad de desviar dinero de los proyectos de inversión, utilizando sobornos o dadivas para ser aprobados debido a la obtención de beneficios a terceros</t>
  </si>
  <si>
    <t>Adulteración de la información</t>
  </si>
  <si>
    <t>Desviar los fondos para beneficiar a terceros</t>
  </si>
  <si>
    <t>Se realiza verificación de la información contenida en los informes</t>
  </si>
  <si>
    <t>Realizar evaluación y seguimiento periódico a la asignación de los recursos</t>
  </si>
  <si>
    <t>Posibilidad de alteración del seguimiento al plan indicativo, diseñando un mal seguimiento que beneficie a la entidad</t>
  </si>
  <si>
    <t xml:space="preserve">Manipular la información de reporte para beneficiar a la Institución. </t>
  </si>
  <si>
    <t>Uso del poder para cambiar la información reportada</t>
  </si>
  <si>
    <t>Proceso/Subproceso</t>
  </si>
  <si>
    <t>Gestión de Planeación -  Gestión de proyectos de inversión</t>
  </si>
  <si>
    <t>Gestión de Planeación - Gestión de diseño de seguimiento y medición</t>
  </si>
  <si>
    <t xml:space="preserve">Seguimiento del plan indicativo del Plan de Desarrollo Institucional utilizando </t>
  </si>
  <si>
    <t>Interés de beneficiar a un particular o tercero</t>
  </si>
  <si>
    <t>Gestión de Innovación Digital - Seguridad Privacidad de la Información</t>
  </si>
  <si>
    <t>Desconocimiento de la Normatividad</t>
  </si>
  <si>
    <t>Favorecer a terceros con la manipulación de la información, evitando tener transparencia</t>
  </si>
  <si>
    <t>Gestión de Innovación Digital - Gestión de Arquitectura</t>
  </si>
  <si>
    <t>Equipos dañados, desaprovechamientos de los recursos tecnológicos. Interrupción en la prestación del servicio</t>
  </si>
  <si>
    <t>Atender las solicitudes de verificación de equipos tecnológicos por parte de usuarios internos</t>
  </si>
  <si>
    <t>Realizar evaluación de obsolescencia de los equipos</t>
  </si>
  <si>
    <t xml:space="preserve">Establecer el formato de reporte de situaciones de conflicto de intereses </t>
  </si>
  <si>
    <t>Realizar divulgación y establecer una cultura de reporte de situaciones de conflictos de intereses</t>
  </si>
  <si>
    <t>Capacitar a los funcionarios responsables de los archivos de gestión</t>
  </si>
  <si>
    <t>Realizar auditorías a los archivos de gestión y a los procesos Institucionales</t>
  </si>
  <si>
    <t>Posibilidad de uso indebido de actos administrativos por la manipulación de documentos externos emitidos por el Ministerio de Educación para beneficio propio.</t>
  </si>
  <si>
    <t xml:space="preserve">Ausencia de controles para el manejo de información confidencial </t>
  </si>
  <si>
    <t>Usuarios, productos y practicas, organizacionales</t>
  </si>
  <si>
    <t>Realizar control permanente de la información publicada</t>
  </si>
  <si>
    <t>Realizar control sobre los actos administrativos empleados</t>
  </si>
  <si>
    <t>Emplear papelería Institucional para legalizar documentos de Educación Superior a personas que no cumplen con los requerimientos</t>
  </si>
  <si>
    <t>Incumplimiento con el procedimiento de verificación en los sistemas de información por el funcionario encargado buscando utilizar la documentación para beneficio propio y de terceros</t>
  </si>
  <si>
    <t>Realizar verificación previa de las resoluciones que contienen información referente para expedir Diplomas de grado</t>
  </si>
  <si>
    <t>Solo expedir diplomas a los estudiantes relacionados en resolución emitida por registro académico</t>
  </si>
  <si>
    <t>Gestión de Comunicación y Promoción Organizacional</t>
  </si>
  <si>
    <t>Debilidad en los mecanismos de control y seguimiento</t>
  </si>
  <si>
    <t>Revisar la información antes de su publicación</t>
  </si>
  <si>
    <t xml:space="preserve">Manipular la información publicada o difundida de tal manera que se genera confusión en la comunidad académica y comunidad en general 
Distribución de información no veraz entre la comunidad académica y la comunidad en general
Falta de ética en el personal encargado de la publicación de la información. </t>
  </si>
  <si>
    <t>Realizar capacitación a los funcionarios de la Institución en la custodia de la documentación</t>
  </si>
  <si>
    <t>Realizar seguimiento a los archivos de gestión</t>
  </si>
  <si>
    <t xml:space="preserve">Posibilidad de manipulación o uso indebido de la información financiera para buscar el beneficio de un particular o tercero </t>
  </si>
  <si>
    <t>Gestión financiera</t>
  </si>
  <si>
    <t>Control de acceso al SIIF nación según perfil
y con carácter personal e intransferible</t>
  </si>
  <si>
    <t>Posibilidad de afectación económica por alteración de documentos contables con el fin de beneficio particular o de terceros</t>
  </si>
  <si>
    <t xml:space="preserve">Falta de ética 
Desconocimiento del procedimiento o de la normatividad </t>
  </si>
  <si>
    <t>Desviar fondos de la Institución para beneficio particular o de terceros</t>
  </si>
  <si>
    <t xml:space="preserve">Falla en filtro de revisión de las cuentas para pagos </t>
  </si>
  <si>
    <t xml:space="preserve">Definición en el SIIF de un perfil "elaborador" y del perfil "aprobador" </t>
  </si>
  <si>
    <t>Gestión de Control Interno</t>
  </si>
  <si>
    <t xml:space="preserve">Ocultar información o hallazgos realizados durante auditorias para distorsionar los resultados a beneficio particular o de terceros
Filtrar información no oficial por parte de uno o algunos de los auditores del equipo  </t>
  </si>
  <si>
    <t xml:space="preserve">Ausencia de seguimiento y evaluación del proceso de elección del equipo de auditores
</t>
  </si>
  <si>
    <t>Revisar el informe preliminar de auditoría realizado por el equipo auditor en el marco del Plan Anual de Auditoría, para garantizar que sea coherente y de cumplimiento a los criterios y lineamientos del proceso auditado, antes de su comunicación.</t>
  </si>
  <si>
    <t>Gestión de Formación</t>
  </si>
  <si>
    <t>Posibilidad de acción u omisión de alteración de los datos en el sistema de información académica y demás aplicativos relacionados para favorecer o perjudicar a un usuario.</t>
  </si>
  <si>
    <t>Beneficiar o perjudicar a terceros con alteración de información</t>
  </si>
  <si>
    <t>Lucrarse con la alteración de información en el sistema de información académica</t>
  </si>
  <si>
    <t>Realizar auditorías al Sistema de Información académica</t>
  </si>
  <si>
    <t>Tener los roles, responsabilidades y perfiles bien definidos para identificar alteraciones en el proceso</t>
  </si>
  <si>
    <t xml:space="preserve">Interés particular en beneficiar o perjudicar a un tercero </t>
  </si>
  <si>
    <t>Buscar un beneficio particular o de terceros al no controlar el dinero generado por las multas</t>
  </si>
  <si>
    <t>Debilidad en los procesos de selección y la parametrización de los controles</t>
  </si>
  <si>
    <t>Manipulación de la información de los docentes para favorecer a terceros</t>
  </si>
  <si>
    <t>Alteración de documentos con información relevante (Cambio, Entregar Copias, Destrucción o Alteración de los documentos) que perjudiquen a la Institución.
Destrucción o modificación de documentos durante el tiempo de préstamo de un expediente.</t>
  </si>
  <si>
    <t xml:space="preserve">Posibilidad de afectación económica por modificación de contenidos de los expedientes disponibles en los archivos de gestión por parte de terceros con la ayuda de los administradores de archivo de la dependencia para beneficiar a terceros </t>
  </si>
  <si>
    <t>Custodia indebida de la documentación institucional</t>
  </si>
  <si>
    <t>Perdida o destrucción de documentos relevantes 
Falta de controles en el manejo de la documentación que se genera desde Contratación</t>
  </si>
  <si>
    <t xml:space="preserve">Posibilidad de omisión de información en el proceso de selección de docentes que sean susceptibles a manipular la escogencia buscando un beneficio para un particular. </t>
  </si>
  <si>
    <t>Realizar auditorias y controles continuas por parte de un tercero del proceso o de control interno, verificando los cobros de las multas</t>
  </si>
  <si>
    <t>Cumplir con el proceso de contratación acorde al manual de contratación vigente, con la respectiva publicación</t>
  </si>
  <si>
    <t>Posibilidad de afectación económica por dar mal manejo de la caja menor para beneficio propio o a un tercero</t>
  </si>
  <si>
    <t>Falta de capacitación y manejo de los procedimientos</t>
  </si>
  <si>
    <t>Capacitar a los funcionarios sobre la información que debe ser publicada</t>
  </si>
  <si>
    <t>Realizar verificación de la Información publicada en pagina web</t>
  </si>
  <si>
    <t xml:space="preserve">Procesos de contratación sesgados a intereses particulares. </t>
  </si>
  <si>
    <t>Falta de objetividad y transparencia</t>
  </si>
  <si>
    <t>Capacitar a los funcionarios sobre el proceso contractual</t>
  </si>
  <si>
    <t>Comité de evaluación interdisciplinario</t>
  </si>
  <si>
    <t>Mantener de manera actualizada en el aplicativo toda la información y seguimiento de los proyectos para que exista de esta manera cohesión en tiempo real de la ejecución.</t>
  </si>
  <si>
    <t>Actualización y seguimiento trimestral a los planes de acción de los proyectos y verificar su ejecución presupuestal con el seguimiento al sistema.</t>
  </si>
  <si>
    <t xml:space="preserve">Capacitar en los procedimientos y sanciones que genera el manejo de la información documentada. </t>
  </si>
  <si>
    <t>Llevar controles y registros en el sistema sobre los documentos que son generados y emitidos por la dependencia.</t>
  </si>
  <si>
    <t>Revisar que la fuente de información sea oportuna y pertinente y tener establecido los canales oficiales de comunicación de la Entidad</t>
  </si>
  <si>
    <t>Promover los canales oficiales de comunicación que tiene la Entidad por los cuales se pueden generar la participación ciudadana.</t>
  </si>
  <si>
    <t>Divulgar y socializar con los enlaces de contratación de las demás oficinas con la Oficina Jurídica los cambios y manual de contratación actualizado con la publicación y transparencia de la información.</t>
  </si>
  <si>
    <r>
      <t xml:space="preserve">Gestión de Innovación Digital - Gestión de servicios Digitales - </t>
    </r>
    <r>
      <rPr>
        <b/>
        <sz val="11"/>
        <color theme="1"/>
        <rFont val="Arial Narrow"/>
        <family val="2"/>
      </rPr>
      <t>(TODOS LOS PROCESOS)</t>
    </r>
  </si>
  <si>
    <t>Gestión Documental</t>
  </si>
  <si>
    <t>Gestión procesos de investigación.</t>
  </si>
  <si>
    <t>Gestión de Control Disciplinario Interno</t>
  </si>
  <si>
    <t>Posibilidad de adelantar o sustanciar actuaciones administrativas a pesar de la existencia de causales de conflicto de intereses.</t>
  </si>
  <si>
    <t>El servidor público desconoce las causales de impedimentos establecidas en la ley o no se declara impedido cuando el interés general propio de la función pública entra en conflicto con su interés particular y directo.</t>
  </si>
  <si>
    <t>Incurrir en faltas disciplinarias relacionadas con el régimen de incompatibilidades, inhabilidades, impedimentos y conflictos de intereses.</t>
  </si>
  <si>
    <t xml:space="preserve">     El riesgo afecta la imagen de  la entidad con efecto publicitario sostenido a nivel de sector administrativo, nivel departamental o municipal</t>
  </si>
  <si>
    <t>Extralimitación de funciones con el propósito de beneficiar a terceros o particulares</t>
  </si>
  <si>
    <t xml:space="preserve">Capacitación oportuna a todo el personal que debe reportar por medio del sistema informático financiero, dando paso al seguimiento, trazabilidad y transparencia de la información financiera en tiempo real. </t>
  </si>
  <si>
    <t>Intereses personales para el desvío de dinero a beneficio de terceros</t>
  </si>
  <si>
    <t>Ejecución y Administración de procesos</t>
  </si>
  <si>
    <t>Arqueos periódicos de caja mejor, verificando soportes o formatos completamente diligenciados</t>
  </si>
  <si>
    <t xml:space="preserve">Posibilidad de afectación reputacional por distorsión u ocultamiento de información en situaciones observadas en las etapas de auditorias realizadas por parte de algún integrante del equipo con el fin de beneficio particular o de terceros.
</t>
  </si>
  <si>
    <t xml:space="preserve">     El riesgo afecta la imagen de la entidad internamente, de conocimiento general, nivel interno, de junta directiva y accionistas y/o de proveedores</t>
  </si>
  <si>
    <t>Posibilidad de manipulación de los estudios de viabilidad para los proyectos de inversión, adulterando la información y de esta manera beneficiar a terceros</t>
  </si>
  <si>
    <t>Gestión de Ambientes Físicos de Aprendizajes</t>
  </si>
  <si>
    <t xml:space="preserve">Posibilidad de afectación económica por alteración en el sistema de información bibliográfico por parte de funcionarios al descargar la información de las multas generadas sin tener control del pago de las mismas 
</t>
  </si>
  <si>
    <t>Desviar los fondos de la infraestructura tecnológica para beneficiar a terceros</t>
  </si>
  <si>
    <t>Posibilidad de malversación de fondo, por sobornos realizados para sobre costear la información en las compras de equipos o soluciones tecnológicas para beneficiar a un tercero</t>
  </si>
  <si>
    <t>Realizar el proceso de contratación bajo los estándares establecidos por la Entidad y Colombia Compra Eficiente generando la transparencia del proceso</t>
  </si>
  <si>
    <t>Hacer una revisión aleatoria a la contratación de ciertos valores para verificar las adquisición de los productos completados de manera contractual.</t>
  </si>
  <si>
    <t>Posibilidad de afectación pública por el incumplimiento de publicación de información Institucional dentro de los tiempos establecidos con el fin de favorecer a terceros</t>
  </si>
  <si>
    <t>Inadecuado uso de los recursos tecnológicos que se han adquirido</t>
  </si>
  <si>
    <t>Posibilidad de generar detrimento patrimonial por el no uso de los equipos tecnológicos de la Institución con el fin de beneficiar a un tercero privado</t>
  </si>
  <si>
    <t>Establecer control de acceso a los lugares donde se dispone de equipos institucionales</t>
  </si>
  <si>
    <t xml:space="preserve">Promover el constante reportes de conflicto de intereses que se puedan presentar y capacitar a todo el personal sobre las consecuencias. </t>
  </si>
  <si>
    <t xml:space="preserve">Modificación de documentos que reposan en los archivos de gestión.
</t>
  </si>
  <si>
    <t>Daños Activos Físicos</t>
  </si>
  <si>
    <t>Utilizar información confidencial para beneficio propio o de terceros</t>
  </si>
  <si>
    <t>Gestión Jurídica</t>
  </si>
  <si>
    <t xml:space="preserve">Posibilidad de afectación reputacional por demandas o perdida de credibilidad debido a manipulación de la información publicada o difundida por voceros no oficiales o a través de canales no Institucionales. </t>
  </si>
  <si>
    <t>Posibilidad de desaparición o destrucción de documentos relacionados con la gestión de la Institución, con el propósito de ocultar información propia o de terceros</t>
  </si>
  <si>
    <t>Posibilidad de afectación económica por beneficiar a una firma en particular creando estudios previos con condiciones hechas a la medida buscando un beneficio a un tercero o particular.</t>
  </si>
  <si>
    <t>Posibilidad de afectación económica por sesgar condiciones financieras para favorecer a grupos determinados</t>
  </si>
  <si>
    <r>
      <t xml:space="preserve">Gestión Jurídica/ Contratación
</t>
    </r>
    <r>
      <rPr>
        <b/>
        <sz val="11"/>
        <color theme="1"/>
        <rFont val="Arial Narrow"/>
        <family val="2"/>
      </rPr>
      <t>(TODOS LOS PROCESOS)</t>
    </r>
  </si>
  <si>
    <t>Tratamiento del Riesgo</t>
  </si>
  <si>
    <t>Acciones</t>
  </si>
  <si>
    <t>Registros (evidencias)</t>
  </si>
  <si>
    <t>Rsponsable</t>
  </si>
  <si>
    <t>kk{</t>
  </si>
  <si>
    <t>Oficina Planeación</t>
  </si>
  <si>
    <t>Primer semestre 2022</t>
  </si>
  <si>
    <t>Primer Trimestre 2022</t>
  </si>
  <si>
    <t>Segundo Trimestre 2022</t>
  </si>
  <si>
    <t>Julio de 2022</t>
  </si>
  <si>
    <t>Se realizo capacitaciones a los diferentes procesos con el nuevo formato de presentación de los proyectos, los cuales se vienen cargando en el sistema SIIFWEB para realizar el seguimiento financiero en línea y de manera conjunta con el área financiera</t>
  </si>
  <si>
    <t>Se establece el seguimiento trimestral al plan de acción para revisar de manera constante la inversión realizada por cada proceso, adicionalmente se publica cada trimestre el resultado de la inversión</t>
  </si>
  <si>
    <t>Diciembre de 2022</t>
  </si>
  <si>
    <t>Seguimiento a los indicadores que se plasmaron para la ejecución del Plan de Desarrollo Institucional</t>
  </si>
  <si>
    <t xml:space="preserve">Se realiza un  ajuste al plan indicativo y se adecuaron diferentes archivos para el reporte de los indicadores establecidos en el  Plan de Desarrollo Institucional, el cual se socializa en diciembre para la alimentación del Informe de Rendición de Cuentas del año. </t>
  </si>
  <si>
    <t>TODOS (Oficina de Planeación)</t>
  </si>
  <si>
    <t>Enero de 2022</t>
  </si>
  <si>
    <t>El personal que se encuentra con funciones asignadas contractuales hizo participe de las jornadas de capacitación que fueron socializadas por parte de la Oficina Júridica</t>
  </si>
  <si>
    <t>El personal que se encuentra con funciones asignadas contractuales hizo participe del cómite cuando estos fueron invitados según el direccionamiento de la Oficina Júridica</t>
  </si>
  <si>
    <t>Gestión de Registro Académico</t>
  </si>
  <si>
    <t>Posibilidad de afectación económica y reputacional por sanciones de ente regulador debido a la falsificación o alteración de documentos de Educación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</si>
</sst>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rgb="FFFF9900"/>
      </left>
      <right style="dashed">
        <color theme="9" tint="-0.24994659260841701"/>
      </right>
      <top style="thin">
        <color rgb="FFFF9900"/>
      </top>
      <bottom/>
      <diagonal/>
    </border>
    <border>
      <left style="dashed">
        <color theme="9" tint="-0.24994659260841701"/>
      </left>
      <right style="dashed">
        <color theme="9" tint="-0.24994659260841701"/>
      </right>
      <top style="thin">
        <color rgb="FFFF9900"/>
      </top>
      <bottom/>
      <diagonal/>
    </border>
    <border>
      <left style="dashed">
        <color theme="9" tint="-0.24994659260841701"/>
      </left>
      <right style="thin">
        <color rgb="FFFF9900"/>
      </right>
      <top style="thin">
        <color rgb="FFFF9900"/>
      </top>
      <bottom/>
      <diagonal/>
    </border>
    <border>
      <left style="thin">
        <color rgb="FFFF9900"/>
      </left>
      <right style="dashed">
        <color theme="9" tint="-0.24994659260841701"/>
      </right>
      <top/>
      <bottom style="dashed">
        <color rgb="FFFF9900"/>
      </bottom>
      <diagonal/>
    </border>
    <border>
      <left style="dashed">
        <color theme="9" tint="-0.24994659260841701"/>
      </left>
      <right style="dashed">
        <color theme="9" tint="-0.24994659260841701"/>
      </right>
      <top/>
      <bottom style="dashed">
        <color rgb="FFFF9900"/>
      </bottom>
      <diagonal/>
    </border>
    <border>
      <left style="dashed">
        <color theme="9" tint="-0.24994659260841701"/>
      </left>
      <right style="thin">
        <color rgb="FFFF9900"/>
      </right>
      <top/>
      <bottom style="dashed">
        <color rgb="FFFF9900"/>
      </bottom>
      <diagonal/>
    </border>
  </borders>
  <cellStyleXfs count="5">
    <xf numFmtId="0" fontId="0" fillId="0" borderId="0"/>
    <xf numFmtId="9" fontId="13" fillId="0" borderId="0" applyFont="0" applyFill="0" applyBorder="0" applyAlignment="0" applyProtection="0"/>
    <xf numFmtId="0" fontId="45" fillId="0" borderId="0"/>
    <xf numFmtId="0" fontId="46" fillId="0" borderId="0"/>
    <xf numFmtId="0" fontId="5" fillId="0" borderId="0"/>
  </cellStyleXfs>
  <cellXfs count="43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11" xfId="0" applyFont="1" applyFill="1" applyBorder="1" applyAlignment="1">
      <alignment horizontal="center" vertical="center" wrapText="1" readingOrder="1"/>
    </xf>
    <xf numFmtId="0" fontId="9" fillId="0" borderId="11" xfId="0" applyFont="1" applyBorder="1" applyAlignment="1">
      <alignment horizontal="justify" vertical="center" wrapText="1" readingOrder="1"/>
    </xf>
    <xf numFmtId="9" fontId="9" fillId="0" borderId="11"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1"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11"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11"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11"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1" borderId="12" xfId="0" applyFont="1" applyFill="1" applyBorder="1" applyAlignment="1" applyProtection="1">
      <alignment horizontal="center" vertical="center" wrapText="1" readingOrder="1"/>
      <protection hidden="1"/>
    </xf>
    <xf numFmtId="0" fontId="18" fillId="11" borderId="19" xfId="0" applyFont="1" applyFill="1" applyBorder="1" applyAlignment="1" applyProtection="1">
      <alignment horizontal="center" vertical="center" wrapText="1" readingOrder="1"/>
      <protection hidden="1"/>
    </xf>
    <xf numFmtId="0" fontId="18" fillId="11" borderId="13" xfId="0" applyFont="1" applyFill="1" applyBorder="1" applyAlignment="1" applyProtection="1">
      <alignment horizontal="center" vertic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19" xfId="0" applyFont="1" applyFill="1" applyBorder="1" applyAlignment="1" applyProtection="1">
      <alignment horizontal="center" wrapText="1" readingOrder="1"/>
      <protection hidden="1"/>
    </xf>
    <xf numFmtId="0" fontId="18" fillId="12" borderId="13" xfId="0" applyFont="1" applyFill="1" applyBorder="1" applyAlignment="1" applyProtection="1">
      <alignment horizontal="center" wrapText="1" readingOrder="1"/>
      <protection hidden="1"/>
    </xf>
    <xf numFmtId="0" fontId="18" fillId="11" borderId="14"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15" xfId="0" applyFont="1" applyFill="1" applyBorder="1" applyAlignment="1" applyProtection="1">
      <alignment horizontal="center" vertical="center" wrapText="1" readingOrder="1"/>
      <protection hidden="1"/>
    </xf>
    <xf numFmtId="0" fontId="18" fillId="12" borderId="14"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15" xfId="0" applyFont="1" applyFill="1" applyBorder="1" applyAlignment="1" applyProtection="1">
      <alignment horizontal="center" wrapText="1" readingOrder="1"/>
      <protection hidden="1"/>
    </xf>
    <xf numFmtId="0" fontId="18" fillId="11" borderId="16" xfId="0" applyFont="1" applyFill="1" applyBorder="1" applyAlignment="1" applyProtection="1">
      <alignment horizontal="center" vertical="center" wrapText="1" readingOrder="1"/>
      <protection hidden="1"/>
    </xf>
    <xf numFmtId="0" fontId="18" fillId="11" borderId="18" xfId="0" applyFont="1" applyFill="1" applyBorder="1" applyAlignment="1" applyProtection="1">
      <alignment horizontal="center" vertical="center" wrapText="1" readingOrder="1"/>
      <protection hidden="1"/>
    </xf>
    <xf numFmtId="0" fontId="18" fillId="11" borderId="17" xfId="0" applyFont="1" applyFill="1" applyBorder="1" applyAlignment="1" applyProtection="1">
      <alignment horizontal="center" vertical="center" wrapText="1" readingOrder="1"/>
      <protection hidden="1"/>
    </xf>
    <xf numFmtId="0" fontId="18" fillId="12" borderId="16" xfId="0" applyFont="1" applyFill="1" applyBorder="1" applyAlignment="1" applyProtection="1">
      <alignment horizontal="center" wrapText="1" readingOrder="1"/>
      <protection hidden="1"/>
    </xf>
    <xf numFmtId="0" fontId="18" fillId="12" borderId="18" xfId="0" applyFont="1" applyFill="1" applyBorder="1" applyAlignment="1" applyProtection="1">
      <alignment horizontal="center" wrapText="1" readingOrder="1"/>
      <protection hidden="1"/>
    </xf>
    <xf numFmtId="0" fontId="18" fillId="12" borderId="17"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19" xfId="0" applyFont="1" applyFill="1" applyBorder="1" applyAlignment="1" applyProtection="1">
      <alignment horizontal="center" wrapText="1" readingOrder="1"/>
      <protection hidden="1"/>
    </xf>
    <xf numFmtId="0" fontId="18" fillId="13" borderId="13" xfId="0" applyFont="1" applyFill="1" applyBorder="1" applyAlignment="1" applyProtection="1">
      <alignment horizontal="center" wrapText="1" readingOrder="1"/>
      <protection hidden="1"/>
    </xf>
    <xf numFmtId="0" fontId="18" fillId="13" borderId="14"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15" xfId="0" applyFont="1" applyFill="1" applyBorder="1" applyAlignment="1" applyProtection="1">
      <alignment horizontal="center" wrapText="1" readingOrder="1"/>
      <protection hidden="1"/>
    </xf>
    <xf numFmtId="0" fontId="18" fillId="13" borderId="16" xfId="0" applyFont="1" applyFill="1" applyBorder="1" applyAlignment="1" applyProtection="1">
      <alignment horizontal="center" wrapText="1" readingOrder="1"/>
      <protection hidden="1"/>
    </xf>
    <xf numFmtId="0" fontId="18" fillId="13" borderId="18" xfId="0" applyFont="1" applyFill="1" applyBorder="1" applyAlignment="1" applyProtection="1">
      <alignment horizontal="center" wrapText="1" readingOrder="1"/>
      <protection hidden="1"/>
    </xf>
    <xf numFmtId="0" fontId="18" fillId="13" borderId="17"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19" xfId="0" applyFont="1" applyFill="1" applyBorder="1" applyAlignment="1" applyProtection="1">
      <alignment horizontal="center" wrapText="1" readingOrder="1"/>
      <protection hidden="1"/>
    </xf>
    <xf numFmtId="0" fontId="18" fillId="5" borderId="13" xfId="0" applyFont="1" applyFill="1" applyBorder="1" applyAlignment="1" applyProtection="1">
      <alignment horizontal="center" wrapText="1" readingOrder="1"/>
      <protection hidden="1"/>
    </xf>
    <xf numFmtId="0" fontId="18" fillId="5" borderId="14"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15" xfId="0" applyFont="1" applyFill="1" applyBorder="1" applyAlignment="1" applyProtection="1">
      <alignment horizontal="center" wrapText="1" readingOrder="1"/>
      <protection hidden="1"/>
    </xf>
    <xf numFmtId="0" fontId="18" fillId="5" borderId="16" xfId="0" applyFont="1" applyFill="1" applyBorder="1" applyAlignment="1" applyProtection="1">
      <alignment horizontal="center" wrapText="1" readingOrder="1"/>
      <protection hidden="1"/>
    </xf>
    <xf numFmtId="0" fontId="18" fillId="5" borderId="18" xfId="0" applyFont="1" applyFill="1" applyBorder="1" applyAlignment="1" applyProtection="1">
      <alignment horizontal="center" wrapText="1" readingOrder="1"/>
      <protection hidden="1"/>
    </xf>
    <xf numFmtId="0" fontId="18" fillId="5" borderId="17" xfId="0" applyFont="1" applyFill="1" applyBorder="1" applyAlignment="1" applyProtection="1">
      <alignment horizontal="center" wrapText="1" readingOrder="1"/>
      <protection hidden="1"/>
    </xf>
    <xf numFmtId="0" fontId="22" fillId="13" borderId="19" xfId="0" applyFont="1" applyFill="1" applyBorder="1" applyAlignment="1" applyProtection="1">
      <alignment horizontal="center" wrapText="1" readingOrder="1"/>
      <protection hidden="1"/>
    </xf>
    <xf numFmtId="0" fontId="0" fillId="3" borderId="0" xfId="0" applyFill="1"/>
    <xf numFmtId="0" fontId="47" fillId="3" borderId="51" xfId="2" applyFont="1" applyFill="1" applyBorder="1"/>
    <xf numFmtId="0" fontId="47" fillId="3" borderId="52" xfId="2" applyFont="1" applyFill="1" applyBorder="1"/>
    <xf numFmtId="0" fontId="47" fillId="3" borderId="53" xfId="2" applyFont="1" applyFill="1" applyBorder="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34" xfId="0" applyFont="1" applyFill="1" applyBorder="1" applyAlignment="1">
      <alignment horizontal="center" vertical="center" wrapText="1" readingOrder="1"/>
    </xf>
    <xf numFmtId="0" fontId="36" fillId="3" borderId="34" xfId="0" applyFont="1" applyFill="1" applyBorder="1" applyAlignment="1">
      <alignment horizontal="justify" vertical="center" wrapText="1" readingOrder="1"/>
    </xf>
    <xf numFmtId="9" fontId="35" fillId="3" borderId="43" xfId="0" applyNumberFormat="1" applyFont="1" applyFill="1" applyBorder="1" applyAlignment="1">
      <alignment horizontal="center" vertical="center" wrapText="1" readingOrder="1"/>
    </xf>
    <xf numFmtId="0" fontId="35" fillId="3" borderId="33" xfId="0" applyFont="1" applyFill="1" applyBorder="1" applyAlignment="1">
      <alignment horizontal="center" vertical="center" wrapText="1" readingOrder="1"/>
    </xf>
    <xf numFmtId="0" fontId="36" fillId="3" borderId="33" xfId="0" applyFont="1" applyFill="1" applyBorder="1" applyAlignment="1">
      <alignment horizontal="justify" vertical="center" wrapText="1" readingOrder="1"/>
    </xf>
    <xf numFmtId="9" fontId="35" fillId="3" borderId="38" xfId="0" applyNumberFormat="1" applyFont="1" applyFill="1" applyBorder="1" applyAlignment="1">
      <alignment horizontal="center" vertical="center" wrapText="1" readingOrder="1"/>
    </xf>
    <xf numFmtId="0" fontId="36" fillId="3" borderId="38" xfId="0" applyFont="1" applyFill="1" applyBorder="1" applyAlignment="1">
      <alignment horizontal="center" vertical="center" wrapText="1" readingOrder="1"/>
    </xf>
    <xf numFmtId="0" fontId="35" fillId="3" borderId="40" xfId="0" applyFont="1" applyFill="1" applyBorder="1" applyAlignment="1">
      <alignment horizontal="center" vertical="center" wrapText="1" readingOrder="1"/>
    </xf>
    <xf numFmtId="0" fontId="36" fillId="3" borderId="40" xfId="0" applyFont="1" applyFill="1" applyBorder="1" applyAlignment="1">
      <alignment horizontal="justify" vertical="center" wrapText="1" readingOrder="1"/>
    </xf>
    <xf numFmtId="0" fontId="36" fillId="3" borderId="41" xfId="0" applyFont="1" applyFill="1" applyBorder="1" applyAlignment="1">
      <alignment horizontal="center" vertical="center" wrapText="1" readingOrder="1"/>
    </xf>
    <xf numFmtId="0" fontId="44" fillId="3" borderId="0" xfId="0" applyFont="1" applyFill="1"/>
    <xf numFmtId="0" fontId="35" fillId="15" borderId="45" xfId="0" applyFont="1" applyFill="1" applyBorder="1" applyAlignment="1">
      <alignment horizontal="center" vertical="center" wrapText="1" readingOrder="1"/>
    </xf>
    <xf numFmtId="0" fontId="35" fillId="15" borderId="46"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7" fillId="3" borderId="14"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15" xfId="2" applyFont="1" applyFill="1" applyBorder="1"/>
    <xf numFmtId="0" fontId="47" fillId="3" borderId="16" xfId="2" applyFont="1" applyFill="1" applyBorder="1"/>
    <xf numFmtId="0" fontId="47" fillId="3" borderId="18" xfId="2" applyFont="1" applyFill="1" applyBorder="1"/>
    <xf numFmtId="0" fontId="47" fillId="3" borderId="17"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14"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0" fontId="1" fillId="3" borderId="0" xfId="0" applyFont="1" applyFill="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9" fontId="1" fillId="0" borderId="4"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1" fillId="0" borderId="4" xfId="0" applyFont="1" applyBorder="1" applyAlignment="1">
      <alignment horizontal="center" vertical="center" wrapText="1"/>
    </xf>
    <xf numFmtId="0" fontId="1" fillId="0" borderId="8" xfId="0" applyFont="1" applyBorder="1" applyAlignment="1" applyProtection="1">
      <alignment horizontal="center" vertical="top" wrapText="1"/>
      <protection locked="0"/>
    </xf>
    <xf numFmtId="0" fontId="1" fillId="0" borderId="8" xfId="0" applyFont="1" applyBorder="1" applyAlignment="1">
      <alignment horizontal="center" vertical="top"/>
    </xf>
    <xf numFmtId="9" fontId="1" fillId="0" borderId="8" xfId="0" applyNumberFormat="1" applyFont="1" applyBorder="1" applyAlignment="1" applyProtection="1">
      <alignment horizontal="center" vertical="top" wrapText="1"/>
      <protection locked="0"/>
    </xf>
    <xf numFmtId="0" fontId="1" fillId="0" borderId="8" xfId="0" applyFont="1" applyBorder="1" applyAlignment="1" applyProtection="1">
      <alignment horizontal="center" vertical="top"/>
      <protection locked="0"/>
    </xf>
    <xf numFmtId="0" fontId="1" fillId="0" borderId="8" xfId="0" applyFont="1" applyBorder="1" applyAlignment="1">
      <alignment horizontal="center" vertical="center" wrapText="1"/>
    </xf>
    <xf numFmtId="0" fontId="1" fillId="0" borderId="2" xfId="0" applyFont="1" applyBorder="1" applyAlignment="1" applyProtection="1">
      <alignment horizontal="justify" vertical="top" wrapText="1"/>
      <protection locked="0"/>
    </xf>
    <xf numFmtId="0" fontId="1" fillId="0" borderId="8"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4" fillId="0" borderId="0" xfId="0" applyFont="1" applyAlignment="1">
      <alignment horizontal="center" vertical="center"/>
    </xf>
    <xf numFmtId="9" fontId="1" fillId="0" borderId="4" xfId="0" applyNumberFormat="1" applyFont="1" applyBorder="1" applyAlignment="1" applyProtection="1">
      <alignment vertical="top" wrapText="1"/>
      <protection locked="0"/>
    </xf>
    <xf numFmtId="9" fontId="1" fillId="0" borderId="5" xfId="0" applyNumberFormat="1" applyFont="1" applyBorder="1" applyAlignment="1" applyProtection="1">
      <alignment vertical="top" wrapText="1"/>
      <protection locked="0"/>
    </xf>
    <xf numFmtId="0" fontId="4" fillId="0" borderId="4" xfId="0" applyFont="1" applyBorder="1" applyAlignment="1" applyProtection="1">
      <alignment vertical="top" wrapText="1"/>
      <protection hidden="1"/>
    </xf>
    <xf numFmtId="9" fontId="1" fillId="0" borderId="4" xfId="0" applyNumberFormat="1" applyFont="1" applyBorder="1" applyAlignment="1" applyProtection="1">
      <alignment vertical="top" wrapText="1"/>
      <protection hidden="1"/>
    </xf>
    <xf numFmtId="9" fontId="1" fillId="0" borderId="8" xfId="0" applyNumberFormat="1" applyFont="1" applyBorder="1" applyAlignment="1" applyProtection="1">
      <alignment horizontal="center" vertical="center" wrapText="1"/>
      <protection hidden="1"/>
    </xf>
    <xf numFmtId="0" fontId="4" fillId="0" borderId="4" xfId="0" applyFont="1" applyBorder="1" applyAlignment="1" applyProtection="1">
      <alignment vertical="top"/>
      <protection hidden="1"/>
    </xf>
    <xf numFmtId="9" fontId="1" fillId="0" borderId="5" xfId="0" applyNumberFormat="1" applyFont="1" applyBorder="1" applyAlignment="1" applyProtection="1">
      <alignment vertical="top" wrapText="1"/>
      <protection hidden="1"/>
    </xf>
    <xf numFmtId="0" fontId="0" fillId="0" borderId="0" xfId="0" applyAlignment="1">
      <alignment vertical="top" wrapText="1"/>
    </xf>
    <xf numFmtId="0" fontId="1" fillId="0" borderId="8" xfId="0" applyFont="1" applyBorder="1" applyAlignment="1" applyProtection="1">
      <alignment vertical="center" wrapText="1"/>
      <protection locked="0"/>
    </xf>
    <xf numFmtId="0" fontId="1" fillId="0" borderId="8" xfId="0" applyFont="1" applyBorder="1" applyAlignment="1">
      <alignment vertical="center" wrapText="1"/>
    </xf>
    <xf numFmtId="0" fontId="4" fillId="0" borderId="4" xfId="0" applyFont="1" applyBorder="1" applyAlignment="1" applyProtection="1">
      <alignment horizontal="center" vertical="center" wrapText="1"/>
      <protection hidden="1"/>
    </xf>
    <xf numFmtId="0" fontId="2" fillId="0" borderId="2" xfId="0" applyFont="1" applyBorder="1" applyAlignment="1" applyProtection="1">
      <alignment horizontal="justify" vertical="top" wrapText="1"/>
      <protection locked="0"/>
    </xf>
    <xf numFmtId="9" fontId="1" fillId="0" borderId="8" xfId="0" applyNumberFormat="1" applyFont="1" applyBorder="1" applyAlignment="1" applyProtection="1">
      <alignment vertical="top" wrapText="1"/>
      <protection locked="0"/>
    </xf>
    <xf numFmtId="0" fontId="1" fillId="0" borderId="0" xfId="0" applyFont="1" applyAlignment="1" applyProtection="1">
      <alignment horizontal="justify" vertical="top" wrapText="1"/>
      <protection locked="0"/>
    </xf>
    <xf numFmtId="0" fontId="1" fillId="13" borderId="2" xfId="0" applyFont="1" applyFill="1" applyBorder="1" applyAlignment="1" applyProtection="1">
      <alignment horizontal="center" vertical="top" textRotation="90"/>
      <protection locked="0"/>
    </xf>
    <xf numFmtId="0" fontId="2" fillId="0" borderId="8"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top" textRotation="90" wrapText="1"/>
      <protection locked="0"/>
    </xf>
    <xf numFmtId="0" fontId="50" fillId="13" borderId="4" xfId="0" applyFont="1" applyFill="1" applyBorder="1" applyAlignment="1" applyProtection="1">
      <alignment horizontal="center" vertical="top"/>
      <protection hidden="1"/>
    </xf>
    <xf numFmtId="0" fontId="1" fillId="0" borderId="0" xfId="0" applyFont="1" applyAlignment="1">
      <alignment wrapText="1"/>
    </xf>
    <xf numFmtId="14" fontId="1" fillId="0" borderId="2" xfId="0" applyNumberFormat="1" applyFont="1" applyBorder="1" applyAlignment="1" applyProtection="1">
      <alignment horizontal="center" vertical="top" wrapText="1"/>
      <protection locked="0"/>
    </xf>
    <xf numFmtId="0" fontId="48" fillId="14" borderId="48" xfId="2" applyFont="1" applyFill="1" applyBorder="1" applyAlignment="1">
      <alignment horizontal="center" vertical="center" wrapText="1"/>
    </xf>
    <xf numFmtId="0" fontId="48" fillId="14" borderId="49" xfId="2" applyFont="1" applyFill="1" applyBorder="1" applyAlignment="1">
      <alignment horizontal="center" vertical="center" wrapText="1"/>
    </xf>
    <xf numFmtId="0" fontId="48" fillId="14" borderId="50" xfId="2" applyFont="1" applyFill="1" applyBorder="1" applyAlignment="1">
      <alignment horizontal="center" vertical="center" wrapText="1"/>
    </xf>
    <xf numFmtId="0" fontId="47" fillId="0" borderId="14"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15" xfId="2" quotePrefix="1" applyFont="1" applyBorder="1" applyAlignment="1">
      <alignment horizontal="left" vertical="center" wrapText="1"/>
    </xf>
    <xf numFmtId="0" fontId="47" fillId="0" borderId="68" xfId="2" quotePrefix="1" applyFont="1" applyBorder="1" applyAlignment="1">
      <alignment horizontal="left" vertical="center" wrapText="1"/>
    </xf>
    <xf numFmtId="0" fontId="47" fillId="0" borderId="69" xfId="2" quotePrefix="1" applyFont="1" applyBorder="1" applyAlignment="1">
      <alignment horizontal="left" vertical="center" wrapText="1"/>
    </xf>
    <xf numFmtId="0" fontId="47" fillId="0" borderId="70" xfId="2" quotePrefix="1" applyFont="1" applyBorder="1" applyAlignment="1">
      <alignment horizontal="left" vertical="center" wrapText="1"/>
    </xf>
    <xf numFmtId="0" fontId="49" fillId="3" borderId="51" xfId="2" quotePrefix="1" applyFont="1" applyFill="1" applyBorder="1" applyAlignment="1">
      <alignment horizontal="left" vertical="top" wrapText="1"/>
    </xf>
    <xf numFmtId="0" fontId="50" fillId="3" borderId="52" xfId="2" quotePrefix="1" applyFont="1" applyFill="1" applyBorder="1" applyAlignment="1">
      <alignment horizontal="left" vertical="top" wrapText="1"/>
    </xf>
    <xf numFmtId="0" fontId="50" fillId="3" borderId="53" xfId="2" quotePrefix="1" applyFont="1" applyFill="1" applyBorder="1" applyAlignment="1">
      <alignment horizontal="left" vertical="top" wrapText="1"/>
    </xf>
    <xf numFmtId="0" fontId="47" fillId="0" borderId="14"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15" xfId="2" quotePrefix="1" applyFont="1" applyBorder="1" applyAlignment="1">
      <alignment horizontal="left" vertical="top" wrapText="1"/>
    </xf>
    <xf numFmtId="0" fontId="52" fillId="14" borderId="54" xfId="3" applyFont="1" applyFill="1" applyBorder="1" applyAlignment="1">
      <alignment horizontal="center" vertical="center" wrapText="1"/>
    </xf>
    <xf numFmtId="0" fontId="52" fillId="14" borderId="55" xfId="3" applyFont="1" applyFill="1" applyBorder="1" applyAlignment="1">
      <alignment horizontal="center" vertical="center" wrapText="1"/>
    </xf>
    <xf numFmtId="0" fontId="52" fillId="14" borderId="56" xfId="2" applyFont="1" applyFill="1" applyBorder="1" applyAlignment="1">
      <alignment horizontal="center" vertical="center"/>
    </xf>
    <xf numFmtId="0" fontId="52"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2" fillId="3" borderId="58" xfId="3" applyFont="1" applyFill="1" applyBorder="1" applyAlignment="1">
      <alignment horizontal="left" vertical="top" wrapText="1" readingOrder="1"/>
    </xf>
    <xf numFmtId="0" fontId="52" fillId="3" borderId="59" xfId="3" applyFont="1" applyFill="1" applyBorder="1" applyAlignment="1">
      <alignment horizontal="left" vertical="top" wrapText="1" readingOrder="1"/>
    </xf>
    <xf numFmtId="0" fontId="53" fillId="3" borderId="60" xfId="2" applyFont="1" applyFill="1" applyBorder="1" applyAlignment="1">
      <alignment horizontal="justify" vertical="center" wrapText="1"/>
    </xf>
    <xf numFmtId="0" fontId="53" fillId="3" borderId="61" xfId="2" applyFont="1" applyFill="1" applyBorder="1" applyAlignment="1">
      <alignment horizontal="justify" vertical="center" wrapText="1"/>
    </xf>
    <xf numFmtId="0" fontId="52" fillId="3" borderId="62" xfId="0" applyFont="1" applyFill="1" applyBorder="1" applyAlignment="1">
      <alignment horizontal="left" vertical="center" wrapText="1"/>
    </xf>
    <xf numFmtId="0" fontId="52" fillId="3" borderId="63" xfId="0" applyFont="1" applyFill="1" applyBorder="1" applyAlignment="1">
      <alignment horizontal="left" vertical="center" wrapText="1"/>
    </xf>
    <xf numFmtId="0" fontId="53" fillId="3" borderId="64" xfId="2" applyFont="1" applyFill="1" applyBorder="1" applyAlignment="1">
      <alignment horizontal="justify" vertical="center" wrapText="1"/>
    </xf>
    <xf numFmtId="0" fontId="53" fillId="3" borderId="65" xfId="2" applyFont="1" applyFill="1" applyBorder="1" applyAlignment="1">
      <alignment horizontal="justify" vertical="center" wrapText="1"/>
    </xf>
    <xf numFmtId="0" fontId="47" fillId="3" borderId="14"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15" xfId="2" applyFont="1" applyFill="1" applyBorder="1" applyAlignment="1">
      <alignment horizontal="left" vertical="top" wrapText="1"/>
    </xf>
    <xf numFmtId="0" fontId="52" fillId="3" borderId="71" xfId="0" applyFont="1" applyFill="1" applyBorder="1" applyAlignment="1">
      <alignment horizontal="left" vertical="center" wrapText="1"/>
    </xf>
    <xf numFmtId="0" fontId="52" fillId="3" borderId="72" xfId="0" applyFont="1" applyFill="1" applyBorder="1" applyAlignment="1">
      <alignment horizontal="left" vertical="center" wrapText="1"/>
    </xf>
    <xf numFmtId="0" fontId="52" fillId="3" borderId="73" xfId="0" applyFont="1" applyFill="1" applyBorder="1" applyAlignment="1">
      <alignment horizontal="left" vertical="center" wrapText="1"/>
    </xf>
    <xf numFmtId="0" fontId="52" fillId="3" borderId="74" xfId="0" applyFont="1" applyFill="1" applyBorder="1" applyAlignment="1">
      <alignment horizontal="left" vertical="center" wrapText="1"/>
    </xf>
    <xf numFmtId="0" fontId="53" fillId="3" borderId="66" xfId="0" applyFont="1" applyFill="1" applyBorder="1" applyAlignment="1">
      <alignment horizontal="justify" vertical="center" wrapText="1"/>
    </xf>
    <xf numFmtId="0" fontId="53" fillId="3" borderId="67" xfId="0" applyFont="1" applyFill="1" applyBorder="1" applyAlignment="1">
      <alignment horizontal="justify"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1" fillId="0" borderId="4"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8" xfId="0" applyFont="1" applyBorder="1" applyAlignment="1">
      <alignment horizontal="center" vertical="top"/>
    </xf>
    <xf numFmtId="0" fontId="1" fillId="0" borderId="4" xfId="0" applyFont="1" applyBorder="1" applyAlignment="1">
      <alignment horizontal="center" vertical="top"/>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8" xfId="0" applyFont="1" applyBorder="1" applyAlignment="1" applyProtection="1">
      <alignment horizontal="center" vertical="top" wrapText="1"/>
      <protection locked="0"/>
    </xf>
    <xf numFmtId="2" fontId="1" fillId="0" borderId="4" xfId="0" applyNumberFormat="1" applyFont="1" applyBorder="1" applyAlignment="1" applyProtection="1">
      <alignment horizontal="center" vertical="top"/>
      <protection locked="0"/>
    </xf>
    <xf numFmtId="2" fontId="1" fillId="0" borderId="8" xfId="0" applyNumberFormat="1" applyFont="1" applyBorder="1" applyAlignment="1" applyProtection="1">
      <alignment horizontal="center" vertical="top"/>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locked="0"/>
    </xf>
    <xf numFmtId="2" fontId="1" fillId="0" borderId="4" xfId="0" applyNumberFormat="1" applyFont="1" applyBorder="1" applyAlignment="1">
      <alignment horizontal="center" vertical="top"/>
    </xf>
    <xf numFmtId="2" fontId="1" fillId="0" borderId="8" xfId="0" applyNumberFormat="1" applyFont="1" applyBorder="1" applyAlignment="1">
      <alignment horizontal="center" vertical="top"/>
    </xf>
    <xf numFmtId="0" fontId="4" fillId="0" borderId="5" xfId="0"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top" wrapText="1"/>
      <protection hidden="1"/>
    </xf>
    <xf numFmtId="0" fontId="1" fillId="0" borderId="8" xfId="0" applyFont="1" applyBorder="1" applyAlignment="1">
      <alignment horizontal="center" vertical="center" wrapText="1"/>
    </xf>
    <xf numFmtId="9" fontId="1" fillId="0" borderId="5" xfId="0" applyNumberFormat="1" applyFont="1" applyBorder="1" applyAlignment="1" applyProtection="1">
      <alignment horizontal="center" vertical="top" wrapText="1"/>
      <protection locked="0"/>
    </xf>
    <xf numFmtId="0" fontId="1" fillId="0" borderId="28" xfId="0" applyFont="1" applyBorder="1" applyAlignment="1">
      <alignment horizontal="center" vertical="center" wrapText="1"/>
    </xf>
    <xf numFmtId="0" fontId="1" fillId="0" borderId="3"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textRotation="90"/>
    </xf>
    <xf numFmtId="0" fontId="4"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2" fillId="0" borderId="5" xfId="0" applyFont="1" applyBorder="1" applyAlignment="1" applyProtection="1">
      <alignment horizontal="center" vertical="center" wrapText="1"/>
      <protection locked="0"/>
    </xf>
    <xf numFmtId="0" fontId="1" fillId="0" borderId="75" xfId="0" applyFont="1" applyBorder="1" applyAlignment="1" applyProtection="1">
      <alignment horizontal="center" vertical="center" wrapText="1"/>
      <protection locked="0"/>
    </xf>
    <xf numFmtId="0" fontId="1" fillId="0" borderId="78" xfId="0" applyFont="1" applyBorder="1" applyAlignment="1" applyProtection="1">
      <alignment horizontal="center" vertical="center" wrapText="1"/>
      <protection locked="0"/>
    </xf>
    <xf numFmtId="0" fontId="1" fillId="0" borderId="76" xfId="0" applyFont="1" applyBorder="1" applyAlignment="1" applyProtection="1">
      <alignment horizontal="center" vertical="center" wrapText="1"/>
      <protection locked="0"/>
    </xf>
    <xf numFmtId="0" fontId="1" fillId="0" borderId="79"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79" xfId="0" applyFont="1" applyBorder="1" applyAlignment="1" applyProtection="1">
      <alignment horizontal="center" vertical="center" wrapText="1"/>
      <protection locked="0"/>
    </xf>
    <xf numFmtId="0" fontId="1" fillId="0" borderId="76" xfId="0" applyFont="1" applyBorder="1" applyAlignment="1" applyProtection="1">
      <alignment horizontal="center" vertical="top" wrapText="1"/>
      <protection locked="0"/>
    </xf>
    <xf numFmtId="0" fontId="1" fillId="0" borderId="79" xfId="0" applyFont="1" applyBorder="1" applyAlignment="1" applyProtection="1">
      <alignment horizontal="center" vertical="top" wrapText="1"/>
      <protection locked="0"/>
    </xf>
    <xf numFmtId="0" fontId="1" fillId="0" borderId="77" xfId="0" applyFont="1" applyBorder="1" applyAlignment="1" applyProtection="1">
      <alignment horizontal="center" vertical="top"/>
      <protection locked="0"/>
    </xf>
    <xf numFmtId="0" fontId="1" fillId="0" borderId="80" xfId="0" applyFont="1" applyBorder="1" applyAlignment="1" applyProtection="1">
      <alignment horizontal="center" vertical="top"/>
      <protection locked="0"/>
    </xf>
    <xf numFmtId="0" fontId="4" fillId="0" borderId="30"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24" fillId="0" borderId="0" xfId="0" applyFont="1" applyAlignment="1">
      <alignment horizontal="center" vertical="center" wrapText="1"/>
    </xf>
    <xf numFmtId="0" fontId="19" fillId="5" borderId="14"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2" borderId="13" xfId="0" applyFont="1" applyFill="1" applyBorder="1" applyAlignment="1" applyProtection="1">
      <alignment horizont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12" xfId="0" applyFont="1" applyBorder="1" applyAlignment="1">
      <alignment horizontal="center" vertical="center" wrapText="1"/>
    </xf>
    <xf numFmtId="0" fontId="16" fillId="0" borderId="19"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15" xfId="0" applyFont="1" applyFill="1" applyBorder="1" applyAlignment="1">
      <alignment horizontal="center" vertical="center" textRotation="90" wrapText="1" readingOrder="1"/>
    </xf>
    <xf numFmtId="0" fontId="20" fillId="12" borderId="20" xfId="0" applyFont="1" applyFill="1" applyBorder="1" applyAlignment="1">
      <alignment horizontal="center" vertical="center" wrapText="1" readingOrder="1"/>
    </xf>
    <xf numFmtId="0" fontId="20" fillId="12" borderId="21" xfId="0" applyFont="1" applyFill="1" applyBorder="1" applyAlignment="1">
      <alignment horizontal="center" vertical="center" wrapText="1" readingOrder="1"/>
    </xf>
    <xf numFmtId="0" fontId="20" fillId="12" borderId="22" xfId="0" applyFont="1" applyFill="1" applyBorder="1" applyAlignment="1">
      <alignment horizontal="center" vertical="center" wrapText="1" readingOrder="1"/>
    </xf>
    <xf numFmtId="0" fontId="20" fillId="12" borderId="23"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24" xfId="0" applyFont="1" applyFill="1" applyBorder="1" applyAlignment="1">
      <alignment horizontal="center" vertical="center" wrapText="1" readingOrder="1"/>
    </xf>
    <xf numFmtId="0" fontId="20" fillId="12" borderId="25" xfId="0" applyFont="1" applyFill="1" applyBorder="1" applyAlignment="1">
      <alignment horizontal="center" vertical="center" wrapText="1" readingOrder="1"/>
    </xf>
    <xf numFmtId="0" fontId="20" fillId="12" borderId="26" xfId="0" applyFont="1" applyFill="1" applyBorder="1" applyAlignment="1">
      <alignment horizontal="center" vertical="center" wrapText="1" readingOrder="1"/>
    </xf>
    <xf numFmtId="0" fontId="20" fillId="12" borderId="27"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1" borderId="21" xfId="0" applyFont="1" applyFill="1" applyBorder="1" applyAlignment="1">
      <alignment horizontal="center" vertical="center" wrapText="1" readingOrder="1"/>
    </xf>
    <xf numFmtId="0" fontId="20" fillId="11" borderId="22" xfId="0" applyFont="1" applyFill="1" applyBorder="1" applyAlignment="1">
      <alignment horizontal="center" vertical="center" wrapText="1" readingOrder="1"/>
    </xf>
    <xf numFmtId="0" fontId="20" fillId="11" borderId="23"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24" xfId="0" applyFont="1" applyFill="1" applyBorder="1" applyAlignment="1">
      <alignment horizontal="center" vertical="center" wrapText="1" readingOrder="1"/>
    </xf>
    <xf numFmtId="0" fontId="20" fillId="11" borderId="25" xfId="0" applyFont="1" applyFill="1" applyBorder="1" applyAlignment="1">
      <alignment horizontal="center" vertical="center" wrapText="1" readingOrder="1"/>
    </xf>
    <xf numFmtId="0" fontId="20" fillId="11" borderId="26" xfId="0" applyFont="1" applyFill="1" applyBorder="1" applyAlignment="1">
      <alignment horizontal="center" vertical="center" wrapText="1" readingOrder="1"/>
    </xf>
    <xf numFmtId="0" fontId="20" fillId="11" borderId="27"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13" borderId="21" xfId="0" applyFont="1" applyFill="1" applyBorder="1" applyAlignment="1">
      <alignment horizontal="center" vertical="center" wrapText="1" readingOrder="1"/>
    </xf>
    <xf numFmtId="0" fontId="20" fillId="13" borderId="22" xfId="0" applyFont="1" applyFill="1" applyBorder="1" applyAlignment="1">
      <alignment horizontal="center" vertical="center" wrapText="1" readingOrder="1"/>
    </xf>
    <xf numFmtId="0" fontId="20" fillId="13" borderId="23"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24" xfId="0" applyFont="1" applyFill="1" applyBorder="1" applyAlignment="1">
      <alignment horizontal="center" vertical="center" wrapText="1" readingOrder="1"/>
    </xf>
    <xf numFmtId="0" fontId="20" fillId="13" borderId="25" xfId="0" applyFont="1" applyFill="1" applyBorder="1" applyAlignment="1">
      <alignment horizontal="center" vertical="center" wrapText="1" readingOrder="1"/>
    </xf>
    <xf numFmtId="0" fontId="20" fillId="13" borderId="26" xfId="0" applyFont="1" applyFill="1" applyBorder="1" applyAlignment="1">
      <alignment horizontal="center" vertical="center" wrapText="1" readingOrder="1"/>
    </xf>
    <xf numFmtId="0" fontId="20" fillId="13" borderId="27"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20" fillId="5" borderId="21" xfId="0" applyFont="1" applyFill="1" applyBorder="1" applyAlignment="1">
      <alignment horizontal="center" vertical="center" wrapText="1" readingOrder="1"/>
    </xf>
    <xf numFmtId="0" fontId="20" fillId="5" borderId="22" xfId="0" applyFont="1" applyFill="1" applyBorder="1" applyAlignment="1">
      <alignment horizontal="center" vertical="center" wrapText="1" readingOrder="1"/>
    </xf>
    <xf numFmtId="0" fontId="20" fillId="5" borderId="23"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24" xfId="0" applyFont="1" applyFill="1" applyBorder="1" applyAlignment="1">
      <alignment horizontal="center" vertical="center" wrapText="1" readingOrder="1"/>
    </xf>
    <xf numFmtId="0" fontId="20" fillId="5" borderId="25" xfId="0" applyFont="1" applyFill="1" applyBorder="1" applyAlignment="1">
      <alignment horizontal="center" vertical="center" wrapText="1" readingOrder="1"/>
    </xf>
    <xf numFmtId="0" fontId="20" fillId="5" borderId="26" xfId="0" applyFont="1" applyFill="1" applyBorder="1" applyAlignment="1">
      <alignment horizontal="center" vertical="center" wrapText="1" readingOrder="1"/>
    </xf>
    <xf numFmtId="0" fontId="20" fillId="5" borderId="27"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41" fillId="0" borderId="19"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41" fillId="0" borderId="0" xfId="0" applyFont="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8" xfId="0" applyFont="1" applyBorder="1" applyAlignment="1">
      <alignment horizontal="center" vertical="center"/>
    </xf>
    <xf numFmtId="0" fontId="41" fillId="0" borderId="17" xfId="0" applyFont="1" applyBorder="1" applyAlignment="1">
      <alignment horizontal="center" vertical="center"/>
    </xf>
    <xf numFmtId="0" fontId="41" fillId="0" borderId="19" xfId="0" applyFont="1" applyBorder="1" applyAlignment="1">
      <alignment horizontal="center" vertical="center" wrapText="1"/>
    </xf>
    <xf numFmtId="0" fontId="40" fillId="11" borderId="20" xfId="0" applyFont="1" applyFill="1" applyBorder="1" applyAlignment="1">
      <alignment horizontal="center" vertical="center" wrapText="1" readingOrder="1"/>
    </xf>
    <xf numFmtId="0" fontId="40" fillId="11" borderId="21" xfId="0" applyFont="1" applyFill="1" applyBorder="1" applyAlignment="1">
      <alignment horizontal="center" vertical="center" wrapText="1" readingOrder="1"/>
    </xf>
    <xf numFmtId="0" fontId="40" fillId="11" borderId="22" xfId="0" applyFont="1" applyFill="1" applyBorder="1" applyAlignment="1">
      <alignment horizontal="center" vertical="center" wrapText="1" readingOrder="1"/>
    </xf>
    <xf numFmtId="0" fontId="40" fillId="11" borderId="23"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24" xfId="0" applyFont="1" applyFill="1" applyBorder="1" applyAlignment="1">
      <alignment horizontal="center" vertical="center" wrapText="1" readingOrder="1"/>
    </xf>
    <xf numFmtId="0" fontId="40" fillId="11" borderId="25" xfId="0" applyFont="1" applyFill="1" applyBorder="1" applyAlignment="1">
      <alignment horizontal="center" vertical="center" wrapText="1" readingOrder="1"/>
    </xf>
    <xf numFmtId="0" fontId="40" fillId="11" borderId="26" xfId="0" applyFont="1" applyFill="1" applyBorder="1" applyAlignment="1">
      <alignment horizontal="center" vertical="center" wrapText="1" readingOrder="1"/>
    </xf>
    <xf numFmtId="0" fontId="40" fillId="11" borderId="27" xfId="0" applyFont="1" applyFill="1" applyBorder="1" applyAlignment="1">
      <alignment horizontal="center" vertical="center" wrapText="1" readingOrder="1"/>
    </xf>
    <xf numFmtId="0" fontId="41" fillId="0" borderId="14" xfId="0" applyFont="1" applyBorder="1" applyAlignment="1">
      <alignment horizontal="center" vertical="center" wrapText="1"/>
    </xf>
    <xf numFmtId="0" fontId="40" fillId="12" borderId="20" xfId="0" applyFont="1" applyFill="1" applyBorder="1" applyAlignment="1">
      <alignment horizontal="center" vertical="center" wrapText="1" readingOrder="1"/>
    </xf>
    <xf numFmtId="0" fontId="40" fillId="12" borderId="21" xfId="0" applyFont="1" applyFill="1" applyBorder="1" applyAlignment="1">
      <alignment horizontal="center" vertical="center" wrapText="1" readingOrder="1"/>
    </xf>
    <xf numFmtId="0" fontId="40" fillId="12" borderId="22" xfId="0" applyFont="1" applyFill="1" applyBorder="1" applyAlignment="1">
      <alignment horizontal="center" vertical="center" wrapText="1" readingOrder="1"/>
    </xf>
    <xf numFmtId="0" fontId="40" fillId="12" borderId="23"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24" xfId="0" applyFont="1" applyFill="1" applyBorder="1" applyAlignment="1">
      <alignment horizontal="center" vertical="center" wrapText="1" readingOrder="1"/>
    </xf>
    <xf numFmtId="0" fontId="40" fillId="12" borderId="25" xfId="0" applyFont="1" applyFill="1" applyBorder="1" applyAlignment="1">
      <alignment horizontal="center" vertical="center" wrapText="1" readingOrder="1"/>
    </xf>
    <xf numFmtId="0" fontId="40" fillId="12" borderId="26" xfId="0" applyFont="1" applyFill="1" applyBorder="1" applyAlignment="1">
      <alignment horizontal="center" vertical="center" wrapText="1" readingOrder="1"/>
    </xf>
    <xf numFmtId="0" fontId="40" fillId="12" borderId="27"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0" fillId="5" borderId="20" xfId="0" applyFont="1" applyFill="1" applyBorder="1" applyAlignment="1">
      <alignment horizontal="center" vertical="center" wrapText="1" readingOrder="1"/>
    </xf>
    <xf numFmtId="0" fontId="40" fillId="5" borderId="21" xfId="0" applyFont="1" applyFill="1" applyBorder="1" applyAlignment="1">
      <alignment horizontal="center" vertical="center" wrapText="1" readingOrder="1"/>
    </xf>
    <xf numFmtId="0" fontId="40" fillId="5" borderId="22" xfId="0" applyFont="1" applyFill="1" applyBorder="1" applyAlignment="1">
      <alignment horizontal="center" vertical="center" wrapText="1" readingOrder="1"/>
    </xf>
    <xf numFmtId="0" fontId="40" fillId="5" borderId="23"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24" xfId="0" applyFont="1" applyFill="1" applyBorder="1" applyAlignment="1">
      <alignment horizontal="center" vertical="center" wrapText="1" readingOrder="1"/>
    </xf>
    <xf numFmtId="0" fontId="40" fillId="5" borderId="25" xfId="0" applyFont="1" applyFill="1" applyBorder="1" applyAlignment="1">
      <alignment horizontal="center" vertical="center" wrapText="1" readingOrder="1"/>
    </xf>
    <xf numFmtId="0" fontId="40" fillId="5" borderId="26" xfId="0" applyFont="1" applyFill="1" applyBorder="1" applyAlignment="1">
      <alignment horizontal="center" vertical="center" wrapText="1" readingOrder="1"/>
    </xf>
    <xf numFmtId="0" fontId="40" fillId="5" borderId="27"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0" fillId="13" borderId="21" xfId="0" applyFont="1" applyFill="1" applyBorder="1" applyAlignment="1">
      <alignment horizontal="center" vertical="center" wrapText="1" readingOrder="1"/>
    </xf>
    <xf numFmtId="0" fontId="40" fillId="13" borderId="22" xfId="0" applyFont="1" applyFill="1" applyBorder="1" applyAlignment="1">
      <alignment horizontal="center" vertical="center" wrapText="1" readingOrder="1"/>
    </xf>
    <xf numFmtId="0" fontId="40" fillId="13" borderId="23"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24" xfId="0" applyFont="1" applyFill="1" applyBorder="1" applyAlignment="1">
      <alignment horizontal="center" vertical="center" wrapText="1" readingOrder="1"/>
    </xf>
    <xf numFmtId="0" fontId="40" fillId="13" borderId="25" xfId="0" applyFont="1" applyFill="1" applyBorder="1" applyAlignment="1">
      <alignment horizontal="center" vertical="center" wrapText="1" readingOrder="1"/>
    </xf>
    <xf numFmtId="0" fontId="40" fillId="13" borderId="26" xfId="0" applyFont="1" applyFill="1" applyBorder="1" applyAlignment="1">
      <alignment horizontal="center" vertical="center" wrapText="1" readingOrder="1"/>
    </xf>
    <xf numFmtId="0" fontId="40" fillId="13" borderId="27"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35" xfId="0" applyFont="1" applyFill="1" applyBorder="1" applyAlignment="1">
      <alignment horizontal="center" vertical="center" wrapText="1" readingOrder="1"/>
    </xf>
    <xf numFmtId="0" fontId="38" fillId="15" borderId="36" xfId="0" applyFont="1" applyFill="1" applyBorder="1" applyAlignment="1">
      <alignment horizontal="center" vertical="center" wrapText="1" readingOrder="1"/>
    </xf>
    <xf numFmtId="0" fontId="38" fillId="15" borderId="47"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44" xfId="0" applyFont="1" applyFill="1" applyBorder="1" applyAlignment="1">
      <alignment horizontal="center" vertical="center" wrapText="1" readingOrder="1"/>
    </xf>
    <xf numFmtId="0" fontId="35" fillId="15" borderId="45" xfId="0" applyFont="1" applyFill="1" applyBorder="1" applyAlignment="1">
      <alignment horizontal="center" vertical="center" wrapText="1" readingOrder="1"/>
    </xf>
    <xf numFmtId="0" fontId="35" fillId="3" borderId="42" xfId="0" applyFont="1" applyFill="1" applyBorder="1" applyAlignment="1">
      <alignment horizontal="center" vertical="center" wrapText="1" readingOrder="1"/>
    </xf>
    <xf numFmtId="0" fontId="35" fillId="3" borderId="37" xfId="0" applyFont="1" applyFill="1" applyBorder="1" applyAlignment="1">
      <alignment horizontal="center" vertical="center" wrapText="1" readingOrder="1"/>
    </xf>
    <xf numFmtId="0" fontId="35" fillId="3" borderId="34" xfId="0" applyFont="1" applyFill="1" applyBorder="1" applyAlignment="1">
      <alignment horizontal="center" vertical="center" wrapText="1" readingOrder="1"/>
    </xf>
    <xf numFmtId="0" fontId="35" fillId="3" borderId="33" xfId="0" applyFont="1" applyFill="1" applyBorder="1" applyAlignment="1">
      <alignment horizontal="center" vertical="center" wrapText="1" readingOrder="1"/>
    </xf>
    <xf numFmtId="0" fontId="35" fillId="3" borderId="39" xfId="0" applyFont="1" applyFill="1" applyBorder="1" applyAlignment="1">
      <alignment horizontal="center" vertical="center" wrapText="1" readingOrder="1"/>
    </xf>
    <xf numFmtId="0" fontId="35"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86">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ont>
        <color rgb="FF9C0006"/>
      </font>
      <fill>
        <patternFill>
          <bgColor rgb="FFFFC7CE"/>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s>
  <tableStyles count="0" defaultTableStyle="TableStyleMedium2" defaultPivotStyle="PivotStyleLight16"/>
  <colors>
    <mruColors>
      <color rgb="FFFF9900"/>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5" zoomScale="110" zoomScaleNormal="110" workbookViewId="0">
      <selection activeCell="E18" sqref="E18:F18"/>
    </sheetView>
  </sheetViews>
  <sheetFormatPr baseColWidth="10" defaultRowHeight="15" x14ac:dyDescent="0.25"/>
  <cols>
    <col min="1" max="1" width="2.85546875" style="81" customWidth="1"/>
    <col min="2" max="3" width="24.7109375" style="81" customWidth="1"/>
    <col min="4" max="4" width="16" style="81" customWidth="1"/>
    <col min="5" max="5" width="24.7109375" style="81" customWidth="1"/>
    <col min="6" max="6" width="27.7109375" style="81" customWidth="1"/>
    <col min="7" max="8" width="24.7109375" style="81" customWidth="1"/>
    <col min="9" max="16384" width="11.42578125" style="81"/>
  </cols>
  <sheetData>
    <row r="1" spans="2:8" ht="15.75" thickBot="1" x14ac:dyDescent="0.3"/>
    <row r="2" spans="2:8" ht="18" x14ac:dyDescent="0.25">
      <c r="B2" s="175" t="s">
        <v>162</v>
      </c>
      <c r="C2" s="176"/>
      <c r="D2" s="176"/>
      <c r="E2" s="176"/>
      <c r="F2" s="176"/>
      <c r="G2" s="176"/>
      <c r="H2" s="177"/>
    </row>
    <row r="3" spans="2:8" x14ac:dyDescent="0.25">
      <c r="B3" s="82"/>
      <c r="C3" s="83"/>
      <c r="D3" s="83"/>
      <c r="E3" s="83"/>
      <c r="F3" s="83"/>
      <c r="G3" s="83"/>
      <c r="H3" s="84"/>
    </row>
    <row r="4" spans="2:8" ht="63" customHeight="1" x14ac:dyDescent="0.25">
      <c r="B4" s="178" t="s">
        <v>205</v>
      </c>
      <c r="C4" s="179"/>
      <c r="D4" s="179"/>
      <c r="E4" s="179"/>
      <c r="F4" s="179"/>
      <c r="G4" s="179"/>
      <c r="H4" s="180"/>
    </row>
    <row r="5" spans="2:8" ht="63" customHeight="1" x14ac:dyDescent="0.25">
      <c r="B5" s="181"/>
      <c r="C5" s="182"/>
      <c r="D5" s="182"/>
      <c r="E5" s="182"/>
      <c r="F5" s="182"/>
      <c r="G5" s="182"/>
      <c r="H5" s="183"/>
    </row>
    <row r="6" spans="2:8" ht="16.5" x14ac:dyDescent="0.25">
      <c r="B6" s="184" t="s">
        <v>160</v>
      </c>
      <c r="C6" s="185"/>
      <c r="D6" s="185"/>
      <c r="E6" s="185"/>
      <c r="F6" s="185"/>
      <c r="G6" s="185"/>
      <c r="H6" s="186"/>
    </row>
    <row r="7" spans="2:8" ht="95.25" customHeight="1" x14ac:dyDescent="0.25">
      <c r="B7" s="194" t="s">
        <v>165</v>
      </c>
      <c r="C7" s="195"/>
      <c r="D7" s="195"/>
      <c r="E7" s="195"/>
      <c r="F7" s="195"/>
      <c r="G7" s="195"/>
      <c r="H7" s="196"/>
    </row>
    <row r="8" spans="2:8" ht="16.5" x14ac:dyDescent="0.25">
      <c r="B8" s="118"/>
      <c r="C8" s="119"/>
      <c r="D8" s="119"/>
      <c r="E8" s="119"/>
      <c r="F8" s="119"/>
      <c r="G8" s="119"/>
      <c r="H8" s="120"/>
    </row>
    <row r="9" spans="2:8" ht="16.5" customHeight="1" x14ac:dyDescent="0.25">
      <c r="B9" s="187" t="s">
        <v>198</v>
      </c>
      <c r="C9" s="188"/>
      <c r="D9" s="188"/>
      <c r="E9" s="188"/>
      <c r="F9" s="188"/>
      <c r="G9" s="188"/>
      <c r="H9" s="189"/>
    </row>
    <row r="10" spans="2:8" ht="44.25" customHeight="1" x14ac:dyDescent="0.25">
      <c r="B10" s="187"/>
      <c r="C10" s="188"/>
      <c r="D10" s="188"/>
      <c r="E10" s="188"/>
      <c r="F10" s="188"/>
      <c r="G10" s="188"/>
      <c r="H10" s="189"/>
    </row>
    <row r="11" spans="2:8" ht="15.75" thickBot="1" x14ac:dyDescent="0.3">
      <c r="B11" s="107"/>
      <c r="C11" s="110"/>
      <c r="D11" s="115"/>
      <c r="E11" s="116"/>
      <c r="F11" s="116"/>
      <c r="G11" s="117"/>
      <c r="H11" s="111"/>
    </row>
    <row r="12" spans="2:8" ht="15.75" thickTop="1" x14ac:dyDescent="0.25">
      <c r="B12" s="107"/>
      <c r="C12" s="190" t="s">
        <v>161</v>
      </c>
      <c r="D12" s="191"/>
      <c r="E12" s="192" t="s">
        <v>199</v>
      </c>
      <c r="F12" s="193"/>
      <c r="G12" s="110"/>
      <c r="H12" s="111"/>
    </row>
    <row r="13" spans="2:8" ht="35.25" customHeight="1" x14ac:dyDescent="0.25">
      <c r="B13" s="107"/>
      <c r="C13" s="197" t="s">
        <v>192</v>
      </c>
      <c r="D13" s="198"/>
      <c r="E13" s="199" t="s">
        <v>197</v>
      </c>
      <c r="F13" s="200"/>
      <c r="G13" s="110"/>
      <c r="H13" s="111"/>
    </row>
    <row r="14" spans="2:8" ht="17.25" customHeight="1" x14ac:dyDescent="0.25">
      <c r="B14" s="107"/>
      <c r="C14" s="197" t="s">
        <v>193</v>
      </c>
      <c r="D14" s="198"/>
      <c r="E14" s="199" t="s">
        <v>195</v>
      </c>
      <c r="F14" s="200"/>
      <c r="G14" s="110"/>
      <c r="H14" s="111"/>
    </row>
    <row r="15" spans="2:8" ht="19.5" customHeight="1" x14ac:dyDescent="0.25">
      <c r="B15" s="107"/>
      <c r="C15" s="197" t="s">
        <v>194</v>
      </c>
      <c r="D15" s="198"/>
      <c r="E15" s="199" t="s">
        <v>196</v>
      </c>
      <c r="F15" s="200"/>
      <c r="G15" s="110"/>
      <c r="H15" s="111"/>
    </row>
    <row r="16" spans="2:8" ht="69.75" customHeight="1" x14ac:dyDescent="0.25">
      <c r="B16" s="107"/>
      <c r="C16" s="197" t="s">
        <v>163</v>
      </c>
      <c r="D16" s="198"/>
      <c r="E16" s="199" t="s">
        <v>164</v>
      </c>
      <c r="F16" s="200"/>
      <c r="G16" s="110"/>
      <c r="H16" s="111"/>
    </row>
    <row r="17" spans="2:8" ht="34.5" customHeight="1" x14ac:dyDescent="0.25">
      <c r="B17" s="107"/>
      <c r="C17" s="201" t="s">
        <v>2</v>
      </c>
      <c r="D17" s="202"/>
      <c r="E17" s="203" t="s">
        <v>206</v>
      </c>
      <c r="F17" s="204"/>
      <c r="G17" s="110"/>
      <c r="H17" s="111"/>
    </row>
    <row r="18" spans="2:8" ht="27.75" customHeight="1" x14ac:dyDescent="0.25">
      <c r="B18" s="107"/>
      <c r="C18" s="201" t="s">
        <v>3</v>
      </c>
      <c r="D18" s="202"/>
      <c r="E18" s="203" t="s">
        <v>207</v>
      </c>
      <c r="F18" s="204"/>
      <c r="G18" s="110"/>
      <c r="H18" s="111"/>
    </row>
    <row r="19" spans="2:8" ht="28.5" customHeight="1" x14ac:dyDescent="0.25">
      <c r="B19" s="107"/>
      <c r="C19" s="201" t="s">
        <v>42</v>
      </c>
      <c r="D19" s="202"/>
      <c r="E19" s="203" t="s">
        <v>208</v>
      </c>
      <c r="F19" s="204"/>
      <c r="G19" s="110"/>
      <c r="H19" s="111"/>
    </row>
    <row r="20" spans="2:8" ht="72.75" customHeight="1" x14ac:dyDescent="0.25">
      <c r="B20" s="107"/>
      <c r="C20" s="201" t="s">
        <v>1</v>
      </c>
      <c r="D20" s="202"/>
      <c r="E20" s="203" t="s">
        <v>209</v>
      </c>
      <c r="F20" s="204"/>
      <c r="G20" s="110"/>
      <c r="H20" s="111"/>
    </row>
    <row r="21" spans="2:8" ht="64.5" customHeight="1" x14ac:dyDescent="0.25">
      <c r="B21" s="107"/>
      <c r="C21" s="201" t="s">
        <v>48</v>
      </c>
      <c r="D21" s="202"/>
      <c r="E21" s="203" t="s">
        <v>167</v>
      </c>
      <c r="F21" s="204"/>
      <c r="G21" s="110"/>
      <c r="H21" s="111"/>
    </row>
    <row r="22" spans="2:8" ht="71.25" customHeight="1" x14ac:dyDescent="0.25">
      <c r="B22" s="107"/>
      <c r="C22" s="201" t="s">
        <v>166</v>
      </c>
      <c r="D22" s="202"/>
      <c r="E22" s="203" t="s">
        <v>168</v>
      </c>
      <c r="F22" s="204"/>
      <c r="G22" s="110"/>
      <c r="H22" s="111"/>
    </row>
    <row r="23" spans="2:8" ht="55.5" customHeight="1" x14ac:dyDescent="0.25">
      <c r="B23" s="107"/>
      <c r="C23" s="208" t="s">
        <v>169</v>
      </c>
      <c r="D23" s="209"/>
      <c r="E23" s="203" t="s">
        <v>170</v>
      </c>
      <c r="F23" s="204"/>
      <c r="G23" s="110"/>
      <c r="H23" s="111"/>
    </row>
    <row r="24" spans="2:8" ht="42" customHeight="1" x14ac:dyDescent="0.25">
      <c r="B24" s="107"/>
      <c r="C24" s="208" t="s">
        <v>46</v>
      </c>
      <c r="D24" s="209"/>
      <c r="E24" s="203" t="s">
        <v>171</v>
      </c>
      <c r="F24" s="204"/>
      <c r="G24" s="110"/>
      <c r="H24" s="111"/>
    </row>
    <row r="25" spans="2:8" ht="59.25" customHeight="1" x14ac:dyDescent="0.25">
      <c r="B25" s="107"/>
      <c r="C25" s="208" t="s">
        <v>159</v>
      </c>
      <c r="D25" s="209"/>
      <c r="E25" s="203" t="s">
        <v>172</v>
      </c>
      <c r="F25" s="204"/>
      <c r="G25" s="110"/>
      <c r="H25" s="111"/>
    </row>
    <row r="26" spans="2:8" ht="23.25" customHeight="1" x14ac:dyDescent="0.25">
      <c r="B26" s="107"/>
      <c r="C26" s="208" t="s">
        <v>12</v>
      </c>
      <c r="D26" s="209"/>
      <c r="E26" s="203" t="s">
        <v>173</v>
      </c>
      <c r="F26" s="204"/>
      <c r="G26" s="110"/>
      <c r="H26" s="111"/>
    </row>
    <row r="27" spans="2:8" ht="30.75" customHeight="1" x14ac:dyDescent="0.25">
      <c r="B27" s="107"/>
      <c r="C27" s="208" t="s">
        <v>177</v>
      </c>
      <c r="D27" s="209"/>
      <c r="E27" s="203" t="s">
        <v>174</v>
      </c>
      <c r="F27" s="204"/>
      <c r="G27" s="110"/>
      <c r="H27" s="111"/>
    </row>
    <row r="28" spans="2:8" ht="35.25" customHeight="1" x14ac:dyDescent="0.25">
      <c r="B28" s="107"/>
      <c r="C28" s="208" t="s">
        <v>178</v>
      </c>
      <c r="D28" s="209"/>
      <c r="E28" s="203" t="s">
        <v>175</v>
      </c>
      <c r="F28" s="204"/>
      <c r="G28" s="110"/>
      <c r="H28" s="111"/>
    </row>
    <row r="29" spans="2:8" ht="33" customHeight="1" x14ac:dyDescent="0.25">
      <c r="B29" s="107"/>
      <c r="C29" s="208" t="s">
        <v>178</v>
      </c>
      <c r="D29" s="209"/>
      <c r="E29" s="203" t="s">
        <v>175</v>
      </c>
      <c r="F29" s="204"/>
      <c r="G29" s="110"/>
      <c r="H29" s="111"/>
    </row>
    <row r="30" spans="2:8" ht="30" customHeight="1" x14ac:dyDescent="0.25">
      <c r="B30" s="107"/>
      <c r="C30" s="208" t="s">
        <v>179</v>
      </c>
      <c r="D30" s="209"/>
      <c r="E30" s="203" t="s">
        <v>176</v>
      </c>
      <c r="F30" s="204"/>
      <c r="G30" s="110"/>
      <c r="H30" s="111"/>
    </row>
    <row r="31" spans="2:8" ht="35.25" customHeight="1" x14ac:dyDescent="0.25">
      <c r="B31" s="107"/>
      <c r="C31" s="208" t="s">
        <v>180</v>
      </c>
      <c r="D31" s="209"/>
      <c r="E31" s="203" t="s">
        <v>181</v>
      </c>
      <c r="F31" s="204"/>
      <c r="G31" s="110"/>
      <c r="H31" s="111"/>
    </row>
    <row r="32" spans="2:8" ht="31.5" customHeight="1" x14ac:dyDescent="0.25">
      <c r="B32" s="107"/>
      <c r="C32" s="208" t="s">
        <v>182</v>
      </c>
      <c r="D32" s="209"/>
      <c r="E32" s="203" t="s">
        <v>183</v>
      </c>
      <c r="F32" s="204"/>
      <c r="G32" s="110"/>
      <c r="H32" s="111"/>
    </row>
    <row r="33" spans="2:8" ht="35.25" customHeight="1" x14ac:dyDescent="0.25">
      <c r="B33" s="107"/>
      <c r="C33" s="208" t="s">
        <v>184</v>
      </c>
      <c r="D33" s="209"/>
      <c r="E33" s="203" t="s">
        <v>185</v>
      </c>
      <c r="F33" s="204"/>
      <c r="G33" s="110"/>
      <c r="H33" s="111"/>
    </row>
    <row r="34" spans="2:8" ht="59.25" customHeight="1" x14ac:dyDescent="0.25">
      <c r="B34" s="107"/>
      <c r="C34" s="208" t="s">
        <v>186</v>
      </c>
      <c r="D34" s="209"/>
      <c r="E34" s="203" t="s">
        <v>187</v>
      </c>
      <c r="F34" s="204"/>
      <c r="G34" s="110"/>
      <c r="H34" s="111"/>
    </row>
    <row r="35" spans="2:8" ht="29.25" customHeight="1" x14ac:dyDescent="0.25">
      <c r="B35" s="107"/>
      <c r="C35" s="208" t="s">
        <v>29</v>
      </c>
      <c r="D35" s="209"/>
      <c r="E35" s="203" t="s">
        <v>188</v>
      </c>
      <c r="F35" s="204"/>
      <c r="G35" s="110"/>
      <c r="H35" s="111"/>
    </row>
    <row r="36" spans="2:8" ht="82.5" customHeight="1" x14ac:dyDescent="0.25">
      <c r="B36" s="107"/>
      <c r="C36" s="208" t="s">
        <v>190</v>
      </c>
      <c r="D36" s="209"/>
      <c r="E36" s="203" t="s">
        <v>189</v>
      </c>
      <c r="F36" s="204"/>
      <c r="G36" s="110"/>
      <c r="H36" s="111"/>
    </row>
    <row r="37" spans="2:8" ht="46.5" customHeight="1" x14ac:dyDescent="0.25">
      <c r="B37" s="107"/>
      <c r="C37" s="208" t="s">
        <v>39</v>
      </c>
      <c r="D37" s="209"/>
      <c r="E37" s="203" t="s">
        <v>191</v>
      </c>
      <c r="F37" s="204"/>
      <c r="G37" s="110"/>
      <c r="H37" s="111"/>
    </row>
    <row r="38" spans="2:8" ht="6.75" customHeight="1" thickBot="1" x14ac:dyDescent="0.3">
      <c r="B38" s="107"/>
      <c r="C38" s="210"/>
      <c r="D38" s="211"/>
      <c r="E38" s="212"/>
      <c r="F38" s="213"/>
      <c r="G38" s="110"/>
      <c r="H38" s="111"/>
    </row>
    <row r="39" spans="2:8" ht="15.75" thickTop="1" x14ac:dyDescent="0.25">
      <c r="B39" s="107"/>
      <c r="C39" s="108"/>
      <c r="D39" s="108"/>
      <c r="E39" s="109"/>
      <c r="F39" s="109"/>
      <c r="G39" s="110"/>
      <c r="H39" s="111"/>
    </row>
    <row r="40" spans="2:8" ht="33.75" customHeight="1" x14ac:dyDescent="0.25">
      <c r="B40" s="205" t="s">
        <v>200</v>
      </c>
      <c r="C40" s="206"/>
      <c r="D40" s="206"/>
      <c r="E40" s="206"/>
      <c r="F40" s="206"/>
      <c r="G40" s="206"/>
      <c r="H40" s="207"/>
    </row>
    <row r="41" spans="2:8" ht="34.5" customHeight="1" x14ac:dyDescent="0.25">
      <c r="B41" s="205" t="s">
        <v>201</v>
      </c>
      <c r="C41" s="206"/>
      <c r="D41" s="206"/>
      <c r="E41" s="206"/>
      <c r="F41" s="206"/>
      <c r="G41" s="206"/>
      <c r="H41" s="207"/>
    </row>
    <row r="42" spans="2:8" ht="25.5" customHeight="1" x14ac:dyDescent="0.25">
      <c r="B42" s="205" t="s">
        <v>202</v>
      </c>
      <c r="C42" s="206"/>
      <c r="D42" s="206"/>
      <c r="E42" s="206"/>
      <c r="F42" s="206"/>
      <c r="G42" s="206"/>
      <c r="H42" s="207"/>
    </row>
    <row r="43" spans="2:8" ht="20.25" customHeight="1" x14ac:dyDescent="0.25">
      <c r="B43" s="205" t="s">
        <v>203</v>
      </c>
      <c r="C43" s="206"/>
      <c r="D43" s="206"/>
      <c r="E43" s="206"/>
      <c r="F43" s="206"/>
      <c r="G43" s="206"/>
      <c r="H43" s="207"/>
    </row>
    <row r="44" spans="2:8" x14ac:dyDescent="0.25">
      <c r="B44" s="205" t="s">
        <v>204</v>
      </c>
      <c r="C44" s="206"/>
      <c r="D44" s="206"/>
      <c r="E44" s="206"/>
      <c r="F44" s="206"/>
      <c r="G44" s="206"/>
      <c r="H44" s="207"/>
    </row>
    <row r="45" spans="2:8" ht="15.75" thickBot="1" x14ac:dyDescent="0.3">
      <c r="B45" s="112"/>
      <c r="C45" s="113"/>
      <c r="D45" s="113"/>
      <c r="E45" s="113"/>
      <c r="F45" s="113"/>
      <c r="G45" s="113"/>
      <c r="H45" s="114"/>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O45"/>
  <sheetViews>
    <sheetView tabSelected="1" zoomScale="70" zoomScaleNormal="70" workbookViewId="0">
      <pane ySplit="6" topLeftCell="A21" activePane="bottomLeft" state="frozen"/>
      <selection activeCell="A7" sqref="A7"/>
      <selection pane="bottomLeft" activeCell="Y24" sqref="Y24"/>
    </sheetView>
  </sheetViews>
  <sheetFormatPr baseColWidth="10" defaultRowHeight="50.25" customHeight="1" x14ac:dyDescent="0.3"/>
  <cols>
    <col min="1" max="1" width="4" style="2" bestFit="1" customWidth="1"/>
    <col min="2" max="2" width="20.7109375" style="136" customWidth="1"/>
    <col min="3" max="3" width="15.5703125" style="2" customWidth="1"/>
    <col min="4" max="4" width="23.28515625" style="2" customWidth="1"/>
    <col min="5" max="5" width="18.7109375" style="2" customWidth="1"/>
    <col min="6" max="6" width="41.7109375" style="2" customWidth="1"/>
    <col min="7" max="7" width="19" style="5" customWidth="1"/>
    <col min="8" max="8" width="17.85546875" style="1" hidden="1" customWidth="1"/>
    <col min="9" max="9" width="18.28515625" style="2" customWidth="1"/>
    <col min="10" max="10" width="6.28515625" style="1" customWidth="1"/>
    <col min="11" max="11" width="27.28515625" style="1" hidden="1" customWidth="1"/>
    <col min="12" max="12" width="24.42578125" style="1" hidden="1" customWidth="1"/>
    <col min="13" max="13" width="17.5703125" style="1" customWidth="1"/>
    <col min="14" max="14" width="6.28515625" style="1" customWidth="1"/>
    <col min="15" max="15" width="16" style="1" customWidth="1"/>
    <col min="16" max="16" width="5.85546875" style="1" customWidth="1"/>
    <col min="17" max="17" width="31" style="1" customWidth="1"/>
    <col min="18" max="18" width="16.85546875" style="1" customWidth="1"/>
    <col min="19" max="19" width="6.85546875" style="1" customWidth="1"/>
    <col min="20" max="20" width="5" style="1" customWidth="1"/>
    <col min="21" max="21" width="5.5703125" style="1" customWidth="1"/>
    <col min="22" max="22" width="7.140625" style="1" customWidth="1"/>
    <col min="23" max="23" width="6.7109375" style="1" customWidth="1"/>
    <col min="24" max="24" width="7.5703125" style="1" customWidth="1"/>
    <col min="25" max="25" width="10" style="1" customWidth="1"/>
    <col min="26" max="26" width="8.7109375" style="1" customWidth="1"/>
    <col min="27" max="27" width="10.42578125" style="1" customWidth="1"/>
    <col min="28" max="28" width="9.28515625" style="1" customWidth="1"/>
    <col min="29" max="29" width="9.140625" style="1" customWidth="1"/>
    <col min="30" max="30" width="8.42578125" style="1" customWidth="1"/>
    <col min="31" max="31" width="7.28515625" style="1" customWidth="1"/>
    <col min="32" max="32" width="23" style="1" hidden="1" customWidth="1"/>
    <col min="33" max="33" width="18.85546875" style="173" hidden="1" customWidth="1"/>
    <col min="34" max="34" width="20.28515625" style="1" hidden="1" customWidth="1"/>
    <col min="35" max="35" width="17.5703125" style="1" hidden="1" customWidth="1"/>
    <col min="36" max="36" width="32.28515625" style="1" hidden="1" customWidth="1"/>
    <col min="37" max="37" width="21" style="1" hidden="1" customWidth="1"/>
    <col min="38" max="38" width="10" style="1" hidden="1" customWidth="1"/>
    <col min="39" max="39" width="29.85546875" style="1" hidden="1" customWidth="1"/>
    <col min="40" max="40" width="23.140625" style="1" hidden="1" customWidth="1"/>
    <col min="41" max="41" width="18.7109375" style="1" hidden="1" customWidth="1"/>
    <col min="42" max="42" width="22.7109375" style="1" hidden="1" customWidth="1"/>
    <col min="43" max="43" width="30.85546875" style="1" hidden="1" customWidth="1"/>
    <col min="44" max="44" width="21.5703125" style="1" hidden="1" customWidth="1"/>
    <col min="45" max="45" width="19" style="1" hidden="1" customWidth="1"/>
    <col min="46" max="46" width="19.5703125" style="1" hidden="1" customWidth="1"/>
    <col min="47" max="47" width="0" style="1" hidden="1" customWidth="1"/>
    <col min="48" max="16384" width="11.42578125" style="1"/>
  </cols>
  <sheetData>
    <row r="1" spans="1:67" ht="16.5" hidden="1" customHeight="1" x14ac:dyDescent="0.3">
      <c r="A1" s="275" t="s">
        <v>140</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7"/>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row>
    <row r="2" spans="1:67" ht="16.5" hidden="1" customHeight="1" x14ac:dyDescent="0.3">
      <c r="A2" s="256"/>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9"/>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row>
    <row r="3" spans="1:67" ht="16.5" hidden="1" customHeight="1" x14ac:dyDescent="0.3">
      <c r="A3" s="27"/>
      <c r="B3" s="134"/>
      <c r="C3" s="27"/>
      <c r="D3" s="27"/>
      <c r="E3" s="27"/>
      <c r="F3" s="27"/>
      <c r="G3" s="26"/>
      <c r="H3" s="8"/>
      <c r="I3" s="27"/>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row>
    <row r="4" spans="1:67" ht="50.25" customHeight="1" x14ac:dyDescent="0.3">
      <c r="A4" s="280" t="s">
        <v>135</v>
      </c>
      <c r="B4" s="281"/>
      <c r="C4" s="281"/>
      <c r="D4" s="281"/>
      <c r="E4" s="281"/>
      <c r="F4" s="281"/>
      <c r="G4" s="281"/>
      <c r="H4" s="282"/>
      <c r="I4" s="280" t="s">
        <v>136</v>
      </c>
      <c r="J4" s="281"/>
      <c r="K4" s="281"/>
      <c r="L4" s="281"/>
      <c r="M4" s="281"/>
      <c r="N4" s="281"/>
      <c r="O4" s="282"/>
      <c r="P4" s="280" t="s">
        <v>137</v>
      </c>
      <c r="Q4" s="281"/>
      <c r="R4" s="281"/>
      <c r="S4" s="281"/>
      <c r="T4" s="281"/>
      <c r="U4" s="281"/>
      <c r="V4" s="281"/>
      <c r="W4" s="281"/>
      <c r="X4" s="282"/>
      <c r="Y4" s="280" t="s">
        <v>138</v>
      </c>
      <c r="Z4" s="281"/>
      <c r="AA4" s="281"/>
      <c r="AB4" s="281"/>
      <c r="AC4" s="281"/>
      <c r="AD4" s="281"/>
      <c r="AE4" s="282"/>
      <c r="AF4" s="280" t="s">
        <v>34</v>
      </c>
      <c r="AG4" s="283"/>
      <c r="AH4" s="281"/>
      <c r="AI4" s="281"/>
      <c r="AJ4" s="281"/>
      <c r="AK4" s="282"/>
      <c r="AL4" s="281" t="s">
        <v>333</v>
      </c>
      <c r="AM4" s="281"/>
      <c r="AN4" s="281"/>
      <c r="AO4" s="282"/>
      <c r="AP4" s="280" t="s">
        <v>34</v>
      </c>
      <c r="AQ4" s="281"/>
      <c r="AR4" s="281"/>
      <c r="AS4" s="281"/>
      <c r="AT4" s="281"/>
      <c r="AU4" s="282"/>
      <c r="AV4" s="8"/>
      <c r="AW4" s="8"/>
      <c r="AX4" s="8"/>
      <c r="AY4" s="8"/>
      <c r="AZ4" s="8"/>
      <c r="BA4" s="8"/>
      <c r="BB4" s="8"/>
      <c r="BC4" s="8"/>
      <c r="BD4" s="8"/>
      <c r="BE4" s="8"/>
      <c r="BF4" s="8"/>
      <c r="BG4" s="8"/>
      <c r="BH4" s="8"/>
      <c r="BI4" s="8"/>
      <c r="BJ4" s="8"/>
      <c r="BK4" s="8"/>
      <c r="BL4" s="8"/>
      <c r="BM4" s="8"/>
      <c r="BN4" s="8"/>
      <c r="BO4" s="8"/>
    </row>
    <row r="5" spans="1:67" ht="38.25" customHeight="1" x14ac:dyDescent="0.3">
      <c r="A5" s="259" t="s">
        <v>0</v>
      </c>
      <c r="B5" s="248" t="s">
        <v>222</v>
      </c>
      <c r="C5" s="254" t="s">
        <v>2</v>
      </c>
      <c r="D5" s="249" t="s">
        <v>3</v>
      </c>
      <c r="E5" s="249" t="s">
        <v>42</v>
      </c>
      <c r="F5" s="261" t="s">
        <v>1</v>
      </c>
      <c r="G5" s="248" t="s">
        <v>48</v>
      </c>
      <c r="H5" s="249" t="s">
        <v>131</v>
      </c>
      <c r="I5" s="253" t="s">
        <v>33</v>
      </c>
      <c r="J5" s="255" t="s">
        <v>5</v>
      </c>
      <c r="K5" s="248" t="s">
        <v>85</v>
      </c>
      <c r="L5" s="248" t="s">
        <v>90</v>
      </c>
      <c r="M5" s="257" t="s">
        <v>43</v>
      </c>
      <c r="N5" s="255" t="s">
        <v>5</v>
      </c>
      <c r="O5" s="249" t="s">
        <v>46</v>
      </c>
      <c r="P5" s="250" t="s">
        <v>11</v>
      </c>
      <c r="Q5" s="247" t="s">
        <v>159</v>
      </c>
      <c r="R5" s="248" t="s">
        <v>12</v>
      </c>
      <c r="S5" s="247" t="s">
        <v>8</v>
      </c>
      <c r="T5" s="247"/>
      <c r="U5" s="247"/>
      <c r="V5" s="247"/>
      <c r="W5" s="247"/>
      <c r="X5" s="247"/>
      <c r="Y5" s="252" t="s">
        <v>134</v>
      </c>
      <c r="Z5" s="252" t="s">
        <v>44</v>
      </c>
      <c r="AA5" s="252" t="s">
        <v>5</v>
      </c>
      <c r="AB5" s="252" t="s">
        <v>45</v>
      </c>
      <c r="AC5" s="252" t="s">
        <v>5</v>
      </c>
      <c r="AD5" s="252" t="s">
        <v>47</v>
      </c>
      <c r="AE5" s="250" t="s">
        <v>29</v>
      </c>
      <c r="AF5" s="247" t="s">
        <v>34</v>
      </c>
      <c r="AG5" s="247" t="s">
        <v>35</v>
      </c>
      <c r="AH5" s="247" t="s">
        <v>36</v>
      </c>
      <c r="AI5" s="247" t="s">
        <v>38</v>
      </c>
      <c r="AJ5" s="247" t="s">
        <v>37</v>
      </c>
      <c r="AK5" s="247" t="s">
        <v>39</v>
      </c>
      <c r="AL5" s="250" t="s">
        <v>29</v>
      </c>
      <c r="AM5" s="247" t="s">
        <v>334</v>
      </c>
      <c r="AN5" s="247" t="s">
        <v>335</v>
      </c>
      <c r="AO5" s="247" t="s">
        <v>336</v>
      </c>
      <c r="AP5" s="247" t="s">
        <v>34</v>
      </c>
      <c r="AQ5" s="247" t="s">
        <v>35</v>
      </c>
      <c r="AR5" s="247" t="s">
        <v>36</v>
      </c>
      <c r="AS5" s="247" t="s">
        <v>38</v>
      </c>
      <c r="AT5" s="247" t="s">
        <v>37</v>
      </c>
      <c r="AU5" s="247" t="s">
        <v>39</v>
      </c>
      <c r="AV5" s="8"/>
      <c r="AW5" s="8"/>
      <c r="AX5" s="8"/>
      <c r="AY5" s="8"/>
      <c r="AZ5" s="8"/>
      <c r="BA5" s="8"/>
      <c r="BB5" s="8"/>
      <c r="BC5" s="8"/>
      <c r="BD5" s="8"/>
      <c r="BE5" s="8"/>
      <c r="BF5" s="8"/>
      <c r="BG5" s="8"/>
      <c r="BH5" s="8"/>
      <c r="BI5" s="8"/>
      <c r="BJ5" s="8"/>
      <c r="BK5" s="8"/>
      <c r="BL5" s="8"/>
      <c r="BM5" s="8"/>
      <c r="BN5" s="8"/>
      <c r="BO5" s="8"/>
    </row>
    <row r="6" spans="1:67" s="4" customFormat="1" ht="78.75" x14ac:dyDescent="0.25">
      <c r="A6" s="260"/>
      <c r="B6" s="249"/>
      <c r="C6" s="254"/>
      <c r="D6" s="247"/>
      <c r="E6" s="247"/>
      <c r="F6" s="254"/>
      <c r="G6" s="249"/>
      <c r="H6" s="247"/>
      <c r="I6" s="249"/>
      <c r="J6" s="256"/>
      <c r="K6" s="249"/>
      <c r="L6" s="249"/>
      <c r="M6" s="256"/>
      <c r="N6" s="256"/>
      <c r="O6" s="247"/>
      <c r="P6" s="251"/>
      <c r="Q6" s="247"/>
      <c r="R6" s="249"/>
      <c r="S6" s="7" t="s">
        <v>13</v>
      </c>
      <c r="T6" s="7" t="s">
        <v>17</v>
      </c>
      <c r="U6" s="7" t="s">
        <v>28</v>
      </c>
      <c r="V6" s="7" t="s">
        <v>18</v>
      </c>
      <c r="W6" s="7" t="s">
        <v>21</v>
      </c>
      <c r="X6" s="7" t="s">
        <v>24</v>
      </c>
      <c r="Y6" s="252"/>
      <c r="Z6" s="252"/>
      <c r="AA6" s="252"/>
      <c r="AB6" s="252"/>
      <c r="AC6" s="252"/>
      <c r="AD6" s="252"/>
      <c r="AE6" s="251"/>
      <c r="AF6" s="247"/>
      <c r="AG6" s="247"/>
      <c r="AH6" s="247"/>
      <c r="AI6" s="247"/>
      <c r="AJ6" s="247"/>
      <c r="AK6" s="247"/>
      <c r="AL6" s="251"/>
      <c r="AM6" s="247"/>
      <c r="AN6" s="247"/>
      <c r="AO6" s="247"/>
      <c r="AP6" s="247"/>
      <c r="AQ6" s="247"/>
      <c r="AR6" s="247"/>
      <c r="AS6" s="247"/>
      <c r="AT6" s="247"/>
      <c r="AU6" s="247"/>
      <c r="AV6" s="24"/>
      <c r="AW6" s="24"/>
      <c r="AX6" s="24"/>
      <c r="AY6" s="24"/>
      <c r="AZ6" s="24"/>
      <c r="BA6" s="24"/>
      <c r="BB6" s="24"/>
      <c r="BC6" s="24"/>
      <c r="BD6" s="24"/>
      <c r="BE6" s="24"/>
      <c r="BF6" s="24"/>
      <c r="BG6" s="24"/>
      <c r="BH6" s="24"/>
      <c r="BI6" s="24"/>
      <c r="BJ6" s="24"/>
      <c r="BK6" s="24"/>
      <c r="BL6" s="24"/>
      <c r="BM6" s="24"/>
      <c r="BN6" s="24"/>
      <c r="BO6" s="24"/>
    </row>
    <row r="7" spans="1:67" s="3" customFormat="1" ht="148.5" customHeight="1" x14ac:dyDescent="0.25">
      <c r="A7" s="223">
        <v>1</v>
      </c>
      <c r="B7" s="224" t="s">
        <v>223</v>
      </c>
      <c r="C7" s="226" t="s">
        <v>129</v>
      </c>
      <c r="D7" s="226" t="s">
        <v>210</v>
      </c>
      <c r="E7" s="226" t="s">
        <v>211</v>
      </c>
      <c r="F7" s="228" t="s">
        <v>214</v>
      </c>
      <c r="G7" s="220" t="s">
        <v>123</v>
      </c>
      <c r="H7" s="239">
        <v>24</v>
      </c>
      <c r="I7" s="218" t="str">
        <f>IF(H7&lt;=0,"",IF(H7&lt;=2,"Muy Baja",IF(H7&lt;=24,"Baja",IF(H7&lt;=500,"Media",IF(H7&lt;=5000,"Alta","Muy Alta")))))</f>
        <v>Baja</v>
      </c>
      <c r="J7" s="214">
        <f>IF(I7="","",IF(I7="Muy Baja",0.2,IF(I7="Baja",0.4,IF(I7="Media",0.6,IF(I7="Alta",0.8,IF(I7="Muy Alta",1,))))))</f>
        <v>0.4</v>
      </c>
      <c r="K7" s="238" t="s">
        <v>304</v>
      </c>
      <c r="L7" s="214" t="str">
        <f>IF(NOT(ISERROR(MATCH(K7,'Tabla Impacto'!$B$221:$B$223,0))),'Tabla Impacto'!$F$223&amp;"Por favor no seleccionar los criterios de impacto(Afectación Económica o presupuestal y Pérdida Reputacional)",K7)</f>
        <v xml:space="preserve">     El riesgo afecta la imagen de  la entidad con efecto publicitario sostenido a nivel de sector administrativo, nivel departamental o municipal</v>
      </c>
      <c r="M7" s="235" t="s">
        <v>79</v>
      </c>
      <c r="N7" s="214">
        <f>IF(M7="","",IF(M7="Leve",0.2,IF(M7="Menor",0.4,IF(M7="Moderado",0.6,IF(M7="Mayor",0.8,IF(M7="Catastrófico",1,))))))</f>
        <v>0.6</v>
      </c>
      <c r="O7" s="233" t="s">
        <v>79</v>
      </c>
      <c r="P7" s="121">
        <v>1</v>
      </c>
      <c r="Q7" s="150" t="s">
        <v>212</v>
      </c>
      <c r="R7" s="122" t="str">
        <f t="shared" ref="R7:R11" si="0">IF(OR(S7="Preventivo",S7="Detectivo"),"Probabilidad",IF(S7="Correctivo","Impacto",""))</f>
        <v>Probabilidad</v>
      </c>
      <c r="S7" s="123" t="s">
        <v>14</v>
      </c>
      <c r="T7" s="123" t="s">
        <v>9</v>
      </c>
      <c r="U7" s="124" t="str">
        <f>IF(AND(S7="Preventivo",T7="Automático"),"50%",IF(AND(S7="Preventivo",T7="Manual"),"40%",IF(AND(S7="Detectivo",T7="Automático"),"40%",IF(AND(S7="Detectivo",T7="Manual"),"30%",IF(AND(S7="Correctivo",T7="Automático"),"35%",IF(AND(S7="Correctivo",T7="Manual"),"25%",""))))))</f>
        <v>40%</v>
      </c>
      <c r="V7" s="123" t="s">
        <v>19</v>
      </c>
      <c r="W7" s="123" t="s">
        <v>22</v>
      </c>
      <c r="X7" s="123" t="s">
        <v>117</v>
      </c>
      <c r="Y7" s="125">
        <f>IFERROR(IF(R7="Probabilidad",(J7-(+J7*U7)),IF(R7="Impacto",J7,"")),"")</f>
        <v>0.24</v>
      </c>
      <c r="Z7" s="126" t="str">
        <f>IFERROR(IF(Y7="","",IF(Y7&lt;=0.2,"Muy Baja",IF(Y7&lt;=0.4,"Baja",IF(Y7&lt;=0.6,"Media",IF(Y7&lt;=0.8,"Alta","Muy Alta"))))),"")</f>
        <v>Baja</v>
      </c>
      <c r="AA7" s="127">
        <f>+Y7</f>
        <v>0.24</v>
      </c>
      <c r="AB7" s="126" t="str">
        <f t="shared" ref="AB7:AB8" si="1">IFERROR(IF(AC7="","",IF(AC7&lt;=0.2,"Leve",IF(AC7&lt;=0.4,"Menor",IF(AC7&lt;=0.6,"Moderado",IF(AC7&lt;=0.8,"Mayor","Catastrófico"))))),"")</f>
        <v>Moderado</v>
      </c>
      <c r="AC7" s="127">
        <f t="shared" ref="AC7" si="2">IFERROR(IF(R7="Impacto",(N7-(+N7*U7)),IF(R7="Probabilidad",N7,"")),"")</f>
        <v>0.6</v>
      </c>
      <c r="AD7" s="128" t="str">
        <f t="shared" ref="AD7:AD8" si="3">IFERROR(IF(OR(AND(Z7="Muy Baja",AB7="Leve"),AND(Z7="Muy Baja",AB7="Menor"),AND(Z7="Baja",AB7="Leve")),"Bajo",IF(OR(AND(Z7="Muy baja",AB7="Moderado"),AND(Z7="Baja",AB7="Menor"),AND(Z7="Baja",AB7="Moderado"),AND(Z7="Media",AB7="Leve"),AND(Z7="Media",AB7="Menor"),AND(Z7="Media",AB7="Moderado"),AND(Z7="Alta",AB7="Leve"),AND(Z7="Alta",AB7="Menor")),"Moderado",IF(OR(AND(Z7="Muy Baja",AB7="Mayor"),AND(Z7="Baja",AB7="Mayor"),AND(Z7="Media",AB7="Mayor"),AND(Z7="Alta",AB7="Moderado"),AND(Z7="Alta",AB7="Mayor"),AND(Z7="Muy Alta",AB7="Leve"),AND(Z7="Muy Alta",AB7="Menor"),AND(Z7="Muy Alta",AB7="Moderado"),AND(Z7="Muy Alta",AB7="Mayor")),"Alto",IF(OR(AND(Z7="Muy Baja",AB7="Catastrófico"),AND(Z7="Baja",AB7="Catastrófico"),AND(Z7="Media",AB7="Catastrófico"),AND(Z7="Alta",AB7="Catastrófico"),AND(Z7="Muy Alta",AB7="Catastrófico")),"Extremo","")))),"")</f>
        <v>Moderado</v>
      </c>
      <c r="AE7" s="129" t="s">
        <v>132</v>
      </c>
      <c r="AF7" s="220" t="s">
        <v>290</v>
      </c>
      <c r="AG7" s="130" t="s">
        <v>338</v>
      </c>
      <c r="AH7" s="174" t="s">
        <v>341</v>
      </c>
      <c r="AI7" s="132" t="s">
        <v>342</v>
      </c>
      <c r="AJ7" s="130" t="s">
        <v>343</v>
      </c>
      <c r="AK7" s="131" t="s">
        <v>41</v>
      </c>
      <c r="AL7" s="129" t="s">
        <v>132</v>
      </c>
      <c r="AM7" s="130"/>
      <c r="AN7" s="130"/>
      <c r="AO7" s="130"/>
      <c r="AP7" s="131"/>
      <c r="AQ7" s="131"/>
      <c r="AR7" s="132"/>
      <c r="AS7" s="132"/>
      <c r="AT7" s="130"/>
      <c r="AU7" s="131"/>
      <c r="AV7" s="25"/>
      <c r="AW7" s="25"/>
      <c r="AX7" s="25"/>
      <c r="AY7" s="25"/>
      <c r="AZ7" s="25"/>
      <c r="BA7" s="25"/>
      <c r="BB7" s="25"/>
      <c r="BC7" s="25"/>
      <c r="BD7" s="25"/>
      <c r="BE7" s="25"/>
      <c r="BF7" s="25"/>
      <c r="BG7" s="25"/>
      <c r="BH7" s="25"/>
      <c r="BI7" s="25"/>
      <c r="BJ7" s="25"/>
      <c r="BK7" s="25"/>
      <c r="BL7" s="25"/>
      <c r="BM7" s="25"/>
      <c r="BN7" s="25"/>
      <c r="BO7" s="25"/>
    </row>
    <row r="8" spans="1:67" ht="87" customHeight="1" x14ac:dyDescent="0.3">
      <c r="A8" s="222"/>
      <c r="B8" s="225"/>
      <c r="C8" s="227"/>
      <c r="D8" s="227"/>
      <c r="E8" s="227"/>
      <c r="F8" s="229"/>
      <c r="G8" s="230"/>
      <c r="H8" s="240"/>
      <c r="I8" s="219"/>
      <c r="J8" s="215"/>
      <c r="K8" s="237"/>
      <c r="L8" s="215">
        <f>IF(NOT(ISERROR(MATCH(K8,_xlfn.ANCHORARRAY(F11),0))),#REF!&amp;"Por favor no seleccionar los criterios de impacto",K8)</f>
        <v>0</v>
      </c>
      <c r="M8" s="236"/>
      <c r="N8" s="215"/>
      <c r="O8" s="234"/>
      <c r="P8" s="121">
        <v>2</v>
      </c>
      <c r="Q8" s="150" t="s">
        <v>213</v>
      </c>
      <c r="R8" s="122" t="str">
        <f>IF(OR(S8="Preventivo",S8="Detectivo"),"Probabilidad",IF(S8="Correctivo","Impacto",""))</f>
        <v>Probabilidad</v>
      </c>
      <c r="S8" s="123" t="s">
        <v>15</v>
      </c>
      <c r="T8" s="123" t="s">
        <v>10</v>
      </c>
      <c r="U8" s="124" t="str">
        <f t="shared" ref="U8" si="4">IF(AND(S8="Preventivo",T8="Automático"),"50%",IF(AND(S8="Preventivo",T8="Manual"),"40%",IF(AND(S8="Detectivo",T8="Automático"),"40%",IF(AND(S8="Detectivo",T8="Manual"),"30%",IF(AND(S8="Correctivo",T8="Automático"),"35%",IF(AND(S8="Correctivo",T8="Manual"),"25%",""))))))</f>
        <v>40%</v>
      </c>
      <c r="V8" s="123" t="s">
        <v>19</v>
      </c>
      <c r="W8" s="123" t="s">
        <v>22</v>
      </c>
      <c r="X8" s="123" t="s">
        <v>117</v>
      </c>
      <c r="Y8" s="125">
        <f t="shared" ref="Y8:Y10" si="5">IFERROR(IF(R8="Probabilidad",(J8-(+J8*U8)),IF(R8="Impacto",J8,"")),"")</f>
        <v>0</v>
      </c>
      <c r="Z8" s="126" t="str">
        <f t="shared" ref="Z8:Z26" si="6">IFERROR(IF(Y8="","",IF(Y8&lt;=0.2,"Muy Baja",IF(Y8&lt;=0.4,"Baja",IF(Y8&lt;=0.6,"Media",IF(Y8&lt;=0.8,"Alta","Muy Alta"))))),"")</f>
        <v>Muy Baja</v>
      </c>
      <c r="AA8" s="127">
        <f t="shared" ref="AA8" si="7">+Y8</f>
        <v>0</v>
      </c>
      <c r="AB8" s="126" t="str">
        <f t="shared" si="1"/>
        <v>Leve</v>
      </c>
      <c r="AC8" s="127">
        <f t="shared" ref="AC8" si="8">IFERROR(IF(R8="Impacto",(N8-(+N8*U8)),IF(R8="Probabilidad",N8,"")),"")</f>
        <v>0</v>
      </c>
      <c r="AD8" s="128" t="str">
        <f t="shared" si="3"/>
        <v>Bajo</v>
      </c>
      <c r="AE8" s="129" t="s">
        <v>132</v>
      </c>
      <c r="AF8" s="221"/>
      <c r="AG8" s="131"/>
      <c r="AH8" s="132"/>
      <c r="AI8" s="132"/>
      <c r="AJ8" s="130"/>
      <c r="AK8" s="131"/>
      <c r="AL8" s="129" t="s">
        <v>132</v>
      </c>
      <c r="AM8" s="130"/>
      <c r="AN8" s="130"/>
      <c r="AO8" s="130"/>
      <c r="AP8" s="131"/>
      <c r="AQ8" s="131"/>
      <c r="AR8" s="132"/>
      <c r="AS8" s="132"/>
      <c r="AT8" s="130"/>
      <c r="AU8" s="131"/>
      <c r="AV8" s="8"/>
      <c r="AW8" s="8"/>
      <c r="AX8" s="8"/>
      <c r="AY8" s="8"/>
      <c r="AZ8" s="8"/>
      <c r="BA8" s="8"/>
      <c r="BB8" s="8"/>
      <c r="BC8" s="8"/>
      <c r="BD8" s="8"/>
      <c r="BE8" s="8"/>
      <c r="BF8" s="8"/>
      <c r="BG8" s="8"/>
      <c r="BH8" s="8"/>
      <c r="BI8" s="8"/>
      <c r="BJ8" s="8"/>
      <c r="BK8" s="8"/>
      <c r="BL8" s="8"/>
      <c r="BM8" s="8"/>
      <c r="BN8" s="8"/>
      <c r="BO8" s="8"/>
    </row>
    <row r="9" spans="1:67" ht="137.25" customHeight="1" x14ac:dyDescent="0.3">
      <c r="A9" s="223">
        <v>2</v>
      </c>
      <c r="B9" s="224" t="s">
        <v>223</v>
      </c>
      <c r="C9" s="226" t="s">
        <v>129</v>
      </c>
      <c r="D9" s="226" t="s">
        <v>215</v>
      </c>
      <c r="E9" s="226" t="s">
        <v>216</v>
      </c>
      <c r="F9" s="228" t="s">
        <v>312</v>
      </c>
      <c r="G9" s="220" t="s">
        <v>123</v>
      </c>
      <c r="H9" s="231">
        <v>24</v>
      </c>
      <c r="I9" s="218" t="str">
        <f>IF(H9&lt;=0,"",IF(H9&lt;=2,"Muy Baja",IF(H9&lt;=24,"Baja",IF(H9&lt;=500,"Media",IF(H9&lt;=5000,"Alta","Muy Alta")))))</f>
        <v>Baja</v>
      </c>
      <c r="J9" s="214">
        <f>IF(I9="","",IF(I9="Muy Baja",0.2,IF(I9="Baja",0.4,IF(I9="Media",0.6,IF(I9="Alta",0.8,IF(I9="Muy Alta",1,))))))</f>
        <v>0.4</v>
      </c>
      <c r="K9" s="238" t="s">
        <v>151</v>
      </c>
      <c r="L9" s="214" t="str">
        <f>IF(NOT(ISERROR(MATCH(K9,'Tabla Impacto'!$B$221:$B$223,0))),'Tabla Impacto'!$F$223&amp;"Por favor no seleccionar los criterios de impacto(Afectación Económica o presupuestal y Pérdida Reputacional)",K9)</f>
        <v xml:space="preserve">     El riesgo afecta la imagen de la entidad con algunos usuarios de relevancia frente al logro de los objetivos</v>
      </c>
      <c r="M9" s="235" t="str">
        <f>IF(OR(L9='Tabla Impacto'!$C$11,L9='Tabla Impacto'!$D$11),"Leve",IF(OR(L9='Tabla Impacto'!$C$12,L9='Tabla Impacto'!$D$12),"Menor",IF(OR(L9='Tabla Impacto'!$C$13,L9='Tabla Impacto'!$D$13),"Moderado",IF(OR(L9='Tabla Impacto'!$C$14,L9='Tabla Impacto'!$D$14),"Mayor",IF(OR(L9='Tabla Impacto'!$C$15,L9='Tabla Impacto'!$D$15),"Catastrófico","")))))</f>
        <v>Moderado</v>
      </c>
      <c r="N9" s="214">
        <f>IF(M9="","",IF(M9="Leve",0.2,IF(M9="Menor",0.4,IF(M9="Moderado",0.6,IF(M9="Mayor",0.8,IF(M9="Catastrófico",1,))))))</f>
        <v>0.6</v>
      </c>
      <c r="O9" s="233" t="str">
        <f>IF(OR(AND(I9="Muy Baja",M9="Leve"),AND(I9="Muy Baja",M9="Menor"),AND(I9="Baja",M9="Leve")),"Bajo",IF(OR(AND(I9="Muy baja",M9="Moderado"),AND(I9="Baja",M9="Menor"),AND(I9="Baja",M9="Moderado"),AND(I9="Media",M9="Leve"),AND(I9="Media",M9="Menor"),AND(I9="Media",M9="Moderado"),AND(I9="Alta",M9="Leve"),AND(I9="Alta",M9="Menor")),"Moderado",IF(OR(AND(I9="Muy Baja",M9="Mayor"),AND(I9="Baja",M9="Mayor"),AND(I9="Media",M9="Mayor"),AND(I9="Alta",M9="Moderado"),AND(I9="Alta",M9="Mayor"),AND(I9="Muy Alta",M9="Leve"),AND(I9="Muy Alta",M9="Menor"),AND(I9="Muy Alta",M9="Moderado"),AND(I9="Muy Alta",M9="Mayor")),"Alto",IF(OR(AND(I9="Muy Baja",M9="Catastrófico"),AND(I9="Baja",M9="Catastrófico"),AND(I9="Media",M9="Catastrófico"),AND(I9="Alta",M9="Catastrófico"),AND(I9="Muy Alta",M9="Catastrófico")),"Extremo",""))))</f>
        <v>Moderado</v>
      </c>
      <c r="P9" s="121">
        <v>1</v>
      </c>
      <c r="Q9" s="150" t="s">
        <v>217</v>
      </c>
      <c r="R9" s="122" t="str">
        <f t="shared" si="0"/>
        <v>Probabilidad</v>
      </c>
      <c r="S9" s="123" t="s">
        <v>15</v>
      </c>
      <c r="T9" s="123" t="s">
        <v>9</v>
      </c>
      <c r="U9" s="124" t="str">
        <f>IF(AND(S9="Preventivo",T9="Automático"),"50%",IF(AND(S9="Preventivo",T9="Manual"),"40%",IF(AND(S9="Detectivo",T9="Automático"),"40%",IF(AND(S9="Detectivo",T9="Manual"),"30%",IF(AND(S9="Correctivo",T9="Automático"),"35%",IF(AND(S9="Correctivo",T9="Manual"),"25%",""))))))</f>
        <v>30%</v>
      </c>
      <c r="V9" s="123" t="s">
        <v>19</v>
      </c>
      <c r="W9" s="123" t="s">
        <v>22</v>
      </c>
      <c r="X9" s="123" t="s">
        <v>117</v>
      </c>
      <c r="Y9" s="125">
        <f t="shared" si="5"/>
        <v>0.28000000000000003</v>
      </c>
      <c r="Z9" s="126" t="str">
        <f>IFERROR(IF(Y9="","",IF(Y9&lt;=0.2,"Muy Baja",IF(Y9&lt;=0.4,"Baja",IF(Y9&lt;=0.6,"Media",IF(Y9&lt;=0.8,"Alta","Muy Alta"))))),"")</f>
        <v>Baja</v>
      </c>
      <c r="AA9" s="127">
        <f>+Y9</f>
        <v>0.28000000000000003</v>
      </c>
      <c r="AB9" s="126" t="str">
        <f>IFERROR(IF(AC9="","",IF(AC9&lt;=0.2,"Leve",IF(AC9&lt;=0.4,"Menor",IF(AC9&lt;=0.6,"Moderado",IF(AC9&lt;=0.8,"Mayor","Catastrófico"))))),"")</f>
        <v>Moderado</v>
      </c>
      <c r="AC9" s="127">
        <f>IFERROR(IF(R9="Impacto",(N9-(+N9*U9)),IF(R9="Probabilidad",N9,"")),"")</f>
        <v>0.6</v>
      </c>
      <c r="AD9" s="128"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9" t="s">
        <v>132</v>
      </c>
      <c r="AF9" s="220" t="s">
        <v>291</v>
      </c>
      <c r="AG9" s="130" t="s">
        <v>338</v>
      </c>
      <c r="AH9" s="174" t="s">
        <v>340</v>
      </c>
      <c r="AI9" s="174" t="s">
        <v>345</v>
      </c>
      <c r="AJ9" s="130" t="s">
        <v>344</v>
      </c>
      <c r="AK9" s="131" t="s">
        <v>41</v>
      </c>
      <c r="AL9" s="129" t="s">
        <v>132</v>
      </c>
      <c r="AM9" s="130"/>
      <c r="AN9" s="130"/>
      <c r="AO9" s="130"/>
      <c r="AP9" s="131"/>
      <c r="AQ9" s="131"/>
      <c r="AR9" s="132"/>
      <c r="AS9" s="132"/>
      <c r="AT9" s="130"/>
      <c r="AU9" s="131"/>
      <c r="AV9" s="8"/>
      <c r="AW9" s="8"/>
      <c r="AX9" s="8"/>
      <c r="AY9" s="8"/>
      <c r="AZ9" s="8"/>
      <c r="BA9" s="8"/>
      <c r="BB9" s="8"/>
      <c r="BC9" s="8"/>
      <c r="BD9" s="8"/>
      <c r="BE9" s="8"/>
      <c r="BF9" s="8"/>
      <c r="BG9" s="8"/>
      <c r="BH9" s="8"/>
      <c r="BI9" s="8"/>
      <c r="BJ9" s="8"/>
      <c r="BK9" s="8"/>
      <c r="BL9" s="8"/>
      <c r="BM9" s="8"/>
      <c r="BN9" s="8"/>
      <c r="BO9" s="8"/>
    </row>
    <row r="10" spans="1:67" ht="50.25" customHeight="1" x14ac:dyDescent="0.3">
      <c r="A10" s="222"/>
      <c r="B10" s="225"/>
      <c r="C10" s="227"/>
      <c r="D10" s="227"/>
      <c r="E10" s="227"/>
      <c r="F10" s="229"/>
      <c r="G10" s="230"/>
      <c r="H10" s="232"/>
      <c r="I10" s="219"/>
      <c r="J10" s="215"/>
      <c r="K10" s="237"/>
      <c r="L10" s="215">
        <f>IF(NOT(ISERROR(MATCH(K10,_xlfn.ANCHORARRAY(F12),0))),#REF!&amp;"Por favor no seleccionar los criterios de impacto",K10)</f>
        <v>0</v>
      </c>
      <c r="M10" s="236"/>
      <c r="N10" s="215"/>
      <c r="O10" s="234"/>
      <c r="P10" s="121">
        <v>2</v>
      </c>
      <c r="Q10" s="150" t="s">
        <v>218</v>
      </c>
      <c r="R10" s="122" t="str">
        <f t="shared" si="0"/>
        <v>Probabilidad</v>
      </c>
      <c r="S10" s="123" t="s">
        <v>14</v>
      </c>
      <c r="T10" s="123" t="s">
        <v>10</v>
      </c>
      <c r="U10" s="124" t="str">
        <f t="shared" ref="U10" si="9">IF(AND(S10="Preventivo",T10="Automático"),"50%",IF(AND(S10="Preventivo",T10="Manual"),"40%",IF(AND(S10="Detectivo",T10="Automático"),"40%",IF(AND(S10="Detectivo",T10="Manual"),"30%",IF(AND(S10="Correctivo",T10="Automático"),"35%",IF(AND(S10="Correctivo",T10="Manual"),"25%",""))))))</f>
        <v>50%</v>
      </c>
      <c r="V10" s="123" t="s">
        <v>20</v>
      </c>
      <c r="W10" s="123" t="s">
        <v>22</v>
      </c>
      <c r="X10" s="123" t="s">
        <v>117</v>
      </c>
      <c r="Y10" s="125">
        <f t="shared" si="5"/>
        <v>0</v>
      </c>
      <c r="Z10" s="126" t="str">
        <f t="shared" si="6"/>
        <v>Muy Baja</v>
      </c>
      <c r="AA10" s="127">
        <f t="shared" ref="AA10" si="10">+Y10</f>
        <v>0</v>
      </c>
      <c r="AB10" s="126" t="str">
        <f t="shared" ref="AB10" si="11">IFERROR(IF(AC10="","",IF(AC10&lt;=0.2,"Leve",IF(AC10&lt;=0.4,"Menor",IF(AC10&lt;=0.6,"Moderado",IF(AC10&lt;=0.8,"Mayor","Catastrófico"))))),"")</f>
        <v>Moderado</v>
      </c>
      <c r="AC10" s="127">
        <f>IFERROR(IF(AND(R9="Impacto",R10="Impacto"),(AC9-(+AC9*U10)),IF(R10="Impacto",(N9-(+N9*U10)),IF(R10="Probabilidad",AC9,""))),"")</f>
        <v>0.6</v>
      </c>
      <c r="AD10" s="128" t="str">
        <f t="shared" ref="AD10" si="12">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Moderado</v>
      </c>
      <c r="AE10" s="129" t="s">
        <v>133</v>
      </c>
      <c r="AF10" s="221"/>
      <c r="AG10" s="131"/>
      <c r="AH10" s="132"/>
      <c r="AI10" s="132"/>
      <c r="AJ10" s="130"/>
      <c r="AK10" s="131"/>
      <c r="AL10" s="129" t="s">
        <v>133</v>
      </c>
      <c r="AM10" s="130"/>
      <c r="AN10" s="130"/>
      <c r="AO10" s="130"/>
      <c r="AP10" s="131"/>
      <c r="AQ10" s="131"/>
      <c r="AR10" s="132"/>
      <c r="AS10" s="132"/>
      <c r="AT10" s="130"/>
      <c r="AU10" s="131"/>
      <c r="AV10" s="8"/>
      <c r="AW10" s="8"/>
      <c r="AX10" s="8"/>
      <c r="AY10" s="8"/>
      <c r="AZ10" s="8"/>
      <c r="BA10" s="8"/>
      <c r="BB10" s="8"/>
      <c r="BC10" s="8"/>
      <c r="BD10" s="8"/>
      <c r="BE10" s="8"/>
      <c r="BF10" s="8"/>
      <c r="BG10" s="8"/>
      <c r="BH10" s="8"/>
      <c r="BI10" s="8"/>
      <c r="BJ10" s="8"/>
      <c r="BK10" s="8"/>
      <c r="BL10" s="8"/>
      <c r="BM10" s="8"/>
      <c r="BN10" s="8"/>
      <c r="BO10" s="8"/>
    </row>
    <row r="11" spans="1:67" ht="132" x14ac:dyDescent="0.3">
      <c r="A11" s="139">
        <v>3</v>
      </c>
      <c r="B11" s="144" t="s">
        <v>224</v>
      </c>
      <c r="C11" s="152" t="s">
        <v>128</v>
      </c>
      <c r="D11" s="152" t="s">
        <v>221</v>
      </c>
      <c r="E11" s="152" t="s">
        <v>220</v>
      </c>
      <c r="F11" s="170" t="s">
        <v>219</v>
      </c>
      <c r="G11" s="140" t="s">
        <v>123</v>
      </c>
      <c r="H11" s="141">
        <v>2</v>
      </c>
      <c r="I11" s="164" t="str">
        <f>IF(H11&lt;=0,"",IF(H11&lt;=2,"Muy Baja",IF(H11&lt;=24,"Baja",IF(H11&lt;=500,"Media",IF(H11&lt;=5000,"Alta","Muy Alta")))))</f>
        <v>Muy Baja</v>
      </c>
      <c r="J11" s="137">
        <f>IF(I11="","",IF(I11="Muy Baja",0.2,IF(I11="Baja",0.4,IF(I11="Media",0.6,IF(I11="Alta",0.8,IF(I11="Muy Alta",1,))))))</f>
        <v>0.2</v>
      </c>
      <c r="K11" s="143" t="s">
        <v>150</v>
      </c>
      <c r="L11" s="137" t="str">
        <f>IF(NOT(ISERROR(MATCH(K11,'Tabla Impacto'!$B$221:$B$223,0))),'Tabla Impacto'!$F$223&amp;"Por favor no seleccionar los criterios de impacto(Afectación Económica o presupuestal y Pérdida Reputacional)",K11)</f>
        <v xml:space="preserve">     El riesgo afecta la imagen de la entidad internamente, de conocimiento general, nivel interno, de junta dircetiva y accionistas y/o de provedores</v>
      </c>
      <c r="M11" s="142" t="str">
        <f>IF(OR(L11='Tabla Impacto'!$C$11,L11='Tabla Impacto'!$D$11),"Leve",IF(OR(L11='Tabla Impacto'!$C$12,L11='Tabla Impacto'!$D$12),"Menor",IF(OR(L11='Tabla Impacto'!$C$13,L11='Tabla Impacto'!$D$13),"Moderado",IF(OR(L11='Tabla Impacto'!$C$14,L11='Tabla Impacto'!$D$14),"Mayor",IF(OR(L11='Tabla Impacto'!$C$15,L11='Tabla Impacto'!$D$15),"Catastrófico","")))))</f>
        <v>Menor</v>
      </c>
      <c r="N11" s="137">
        <f>IF(M11="","",IF(M11="Leve",0.2,IF(M11="Menor",0.4,IF(M11="Moderado",0.6,IF(M11="Mayor",0.8,IF(M11="Catastrófico",1,))))))</f>
        <v>0.4</v>
      </c>
      <c r="O11" s="172" t="str">
        <f>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Bajo</v>
      </c>
      <c r="P11" s="121">
        <v>1</v>
      </c>
      <c r="Q11" s="150" t="s">
        <v>225</v>
      </c>
      <c r="R11" s="122" t="str">
        <f t="shared" si="0"/>
        <v>Probabilidad</v>
      </c>
      <c r="S11" s="123" t="s">
        <v>15</v>
      </c>
      <c r="T11" s="123" t="s">
        <v>9</v>
      </c>
      <c r="U11" s="124" t="str">
        <f>IF(AND(S11="Preventivo",T11="Automático"),"50%",IF(AND(S11="Preventivo",T11="Manual"),"40%",IF(AND(S11="Detectivo",T11="Automático"),"40%",IF(AND(S11="Detectivo",T11="Manual"),"30%",IF(AND(S11="Correctivo",T11="Automático"),"35%",IF(AND(S11="Correctivo",T11="Manual"),"25%",""))))))</f>
        <v>30%</v>
      </c>
      <c r="V11" s="123" t="s">
        <v>20</v>
      </c>
      <c r="W11" s="123" t="s">
        <v>23</v>
      </c>
      <c r="X11" s="123" t="s">
        <v>117</v>
      </c>
      <c r="Y11" s="125">
        <f t="shared" ref="Y11" si="13">IFERROR(IF(R11="Probabilidad",(J11-(+J11*U11)),IF(R11="Impacto",J11,"")),"")</f>
        <v>0.14000000000000001</v>
      </c>
      <c r="Z11" s="126" t="str">
        <f>IFERROR(IF(Y11="","",IF(Y11&lt;=0.2,"Muy Baja",IF(Y11&lt;=0.4,"Baja",IF(Y11&lt;=0.6,"Media",IF(Y11&lt;=0.8,"Alta","Muy Alta"))))),"")</f>
        <v>Muy Baja</v>
      </c>
      <c r="AA11" s="127">
        <f>+Y11</f>
        <v>0.14000000000000001</v>
      </c>
      <c r="AB11" s="126" t="str">
        <f t="shared" ref="AB11:AB42" si="14">IFERROR(IF(AC11="","",IF(AC11&lt;=0.2,"Leve",IF(AC11&lt;=0.4,"Menor",IF(AC11&lt;=0.6,"Moderado",IF(AC11&lt;=0.8,"Mayor","Catastrófico"))))),"")</f>
        <v>Moderado</v>
      </c>
      <c r="AC11" s="127">
        <f t="shared" ref="AC11:AC42" si="15">IFERROR(IF(AND(R10="Impacto",R11="Impacto"),(AC10-(+AC10*U11)),IF(R11="Impacto",(N10-(+N10*U11)),IF(R11="Probabilidad",AC10,""))),"")</f>
        <v>0.6</v>
      </c>
      <c r="AD11" s="128" t="str">
        <f t="shared" ref="AD11:AD42" si="16">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29" t="s">
        <v>132</v>
      </c>
      <c r="AF11" s="130" t="s">
        <v>346</v>
      </c>
      <c r="AG11" s="130" t="s">
        <v>338</v>
      </c>
      <c r="AH11" s="174" t="s">
        <v>339</v>
      </c>
      <c r="AI11" s="174" t="s">
        <v>345</v>
      </c>
      <c r="AJ11" s="130" t="s">
        <v>347</v>
      </c>
      <c r="AK11" s="131" t="s">
        <v>41</v>
      </c>
      <c r="AL11" s="129" t="s">
        <v>132</v>
      </c>
      <c r="AM11" s="130"/>
      <c r="AN11" s="130"/>
      <c r="AO11" s="130"/>
      <c r="AP11" s="131"/>
      <c r="AQ11" s="131"/>
      <c r="AR11" s="132"/>
      <c r="AS11" s="132"/>
      <c r="AT11" s="130"/>
      <c r="AU11" s="131"/>
      <c r="AV11" s="8"/>
      <c r="AW11" s="8"/>
      <c r="AX11" s="8"/>
      <c r="AY11" s="8"/>
      <c r="AZ11" s="8"/>
      <c r="BA11" s="8"/>
      <c r="BB11" s="8"/>
      <c r="BC11" s="8"/>
      <c r="BD11" s="8"/>
      <c r="BE11" s="8"/>
      <c r="BF11" s="8"/>
      <c r="BG11" s="8"/>
      <c r="BH11" s="8"/>
      <c r="BI11" s="8"/>
      <c r="BJ11" s="8"/>
      <c r="BK11" s="8"/>
      <c r="BL11" s="8"/>
      <c r="BM11" s="8"/>
      <c r="BN11" s="8"/>
      <c r="BO11" s="8"/>
    </row>
    <row r="12" spans="1:67" ht="111.75" customHeight="1" x14ac:dyDescent="0.3">
      <c r="A12" s="139">
        <v>4</v>
      </c>
      <c r="B12" s="144" t="s">
        <v>227</v>
      </c>
      <c r="C12" s="152" t="s">
        <v>129</v>
      </c>
      <c r="D12" s="152" t="s">
        <v>226</v>
      </c>
      <c r="E12" s="152" t="s">
        <v>315</v>
      </c>
      <c r="F12" s="170" t="s">
        <v>316</v>
      </c>
      <c r="G12" s="140" t="s">
        <v>123</v>
      </c>
      <c r="H12" s="141">
        <v>10</v>
      </c>
      <c r="I12" s="164" t="str">
        <f>IF(H12&lt;=0,"",IF(H12&lt;=2,"Muy Baja",IF(H12&lt;=24,"Baja",IF(H12&lt;=500,"Media",IF(H12&lt;=5000,"Alta","Muy Alta")))))</f>
        <v>Baja</v>
      </c>
      <c r="J12" s="137">
        <f>IF(I12="","",IF(I12="Muy Baja",0.2,IF(I12="Baja",0.4,IF(I12="Media",0.6,IF(I12="Alta",0.8,IF(I12="Muy Alta",1,))))))</f>
        <v>0.4</v>
      </c>
      <c r="K12" s="143" t="s">
        <v>146</v>
      </c>
      <c r="L12" s="137" t="str">
        <f>IF(NOT(ISERROR(MATCH(K12,'Tabla Impacto'!$B$221:$B$223,0))),'Tabla Impacto'!$F$223&amp;"Por favor no seleccionar los criterios de impacto(Afectación Económica o presupuestal y Pérdida Reputacional)",K12)</f>
        <v xml:space="preserve">     Entre 10 y 50 SMLMV </v>
      </c>
      <c r="M12" s="142" t="str">
        <f>IF(OR(L12='Tabla Impacto'!$C$11,L12='Tabla Impacto'!$D$11),"Leve",IF(OR(L12='Tabla Impacto'!$C$12,L12='Tabla Impacto'!$D$12),"Menor",IF(OR(L12='Tabla Impacto'!$C$13,L12='Tabla Impacto'!$D$13),"Moderado",IF(OR(L12='Tabla Impacto'!$C$14,L12='Tabla Impacto'!$D$14),"Mayor",IF(OR(L12='Tabla Impacto'!$C$15,L12='Tabla Impacto'!$D$15),"Catastrófico","")))))</f>
        <v>Menor</v>
      </c>
      <c r="N12" s="137">
        <f>IF(M12="","",IF(M12="Leve",0.2,IF(M12="Menor",0.4,IF(M12="Moderado",0.6,IF(M12="Mayor",0.8,IF(M12="Catastrófico",1,))))))</f>
        <v>0.4</v>
      </c>
      <c r="O12" s="138" t="str">
        <f>IF(OR(AND(I12="Muy Baja",M12="Leve"),AND(I12="Muy Baja",M12="Menor"),AND(I12="Baja",M12="Leve")),"Bajo",IF(OR(AND(I12="Muy baja",M12="Moderado"),AND(I12="Baja",M12="Menor"),AND(I12="Baja",M12="Moderado"),AND(I12="Media",M12="Leve"),AND(I12="Media",M12="Menor"),AND(I12="Media",M12="Moderado"),AND(I12="Alta",M12="Leve"),AND(I12="Alta",M12="Menor")),"Moderado",IF(OR(AND(I12="Muy Baja",M12="Mayor"),AND(I12="Baja",M12="Mayor"),AND(I12="Media",M12="Mayor"),AND(I12="Alta",M12="Moderado"),AND(I12="Alta",M12="Mayor"),AND(I12="Muy Alta",M12="Leve"),AND(I12="Muy Alta",M12="Menor"),AND(I12="Muy Alta",M12="Moderado"),AND(I12="Muy Alta",M12="Mayor")),"Alto",IF(OR(AND(I12="Muy Baja",M12="Catastrófico"),AND(I12="Baja",M12="Catastrófico"),AND(I12="Media",M12="Catastrófico"),AND(I12="Alta",M12="Catastrófico"),AND(I12="Muy Alta",M12="Catastrófico")),"Extremo",""))))</f>
        <v>Moderado</v>
      </c>
      <c r="P12" s="121">
        <v>1</v>
      </c>
      <c r="Q12" s="150" t="s">
        <v>317</v>
      </c>
      <c r="R12" s="122" t="str">
        <f t="shared" ref="R12:R17" si="17">IF(OR(S12="Preventivo",S12="Detectivo"),"Probabilidad",IF(S12="Correctivo","Impacto",""))</f>
        <v>Probabilidad</v>
      </c>
      <c r="S12" s="123" t="s">
        <v>14</v>
      </c>
      <c r="T12" s="123" t="s">
        <v>9</v>
      </c>
      <c r="U12" s="124" t="str">
        <f>IF(AND(S12="Preventivo",T12="Automático"),"50%",IF(AND(S12="Preventivo",T12="Manual"),"40%",IF(AND(S12="Detectivo",T12="Automático"),"40%",IF(AND(S12="Detectivo",T12="Manual"),"30%",IF(AND(S12="Correctivo",T12="Automático"),"35%",IF(AND(S12="Correctivo",T12="Manual"),"25%",""))))))</f>
        <v>40%</v>
      </c>
      <c r="V12" s="123" t="s">
        <v>19</v>
      </c>
      <c r="W12" s="123" t="s">
        <v>22</v>
      </c>
      <c r="X12" s="123" t="s">
        <v>117</v>
      </c>
      <c r="Y12" s="125">
        <f>IFERROR(IF(R12="Probabilidad",(J12-(+J12*U12)),IF(R12="Impacto",J12,"")),"")</f>
        <v>0.24</v>
      </c>
      <c r="Z12" s="126" t="str">
        <f>IFERROR(IF(Y12="","",IF(Y12&lt;=0.2,"Muy Baja",IF(Y12&lt;=0.4,"Baja",IF(Y12&lt;=0.6,"Media",IF(Y12&lt;=0.8,"Alta","Muy Alta"))))),"")</f>
        <v>Baja</v>
      </c>
      <c r="AA12" s="127">
        <f>+Y12</f>
        <v>0.24</v>
      </c>
      <c r="AB12" s="126" t="str">
        <f t="shared" si="14"/>
        <v>Moderado</v>
      </c>
      <c r="AC12" s="127">
        <f t="shared" si="15"/>
        <v>0.6</v>
      </c>
      <c r="AD12" s="128" t="str">
        <f t="shared" si="16"/>
        <v>Moderado</v>
      </c>
      <c r="AE12" s="129" t="s">
        <v>132</v>
      </c>
      <c r="AF12" s="130" t="s">
        <v>318</v>
      </c>
      <c r="AG12" s="131"/>
      <c r="AH12" s="132"/>
      <c r="AI12" s="132"/>
      <c r="AJ12" s="130"/>
      <c r="AK12" s="131"/>
      <c r="AL12" s="129" t="s">
        <v>132</v>
      </c>
      <c r="AM12" s="130"/>
      <c r="AN12" s="130"/>
      <c r="AO12" s="130"/>
      <c r="AP12" s="131"/>
      <c r="AQ12" s="131"/>
      <c r="AR12" s="132"/>
      <c r="AS12" s="132"/>
      <c r="AT12" s="130"/>
      <c r="AU12" s="131"/>
      <c r="AV12" s="8"/>
      <c r="AW12" s="8"/>
      <c r="AX12" s="8"/>
      <c r="AY12" s="8"/>
      <c r="AZ12" s="8"/>
      <c r="BA12" s="8"/>
      <c r="BB12" s="8"/>
      <c r="BC12" s="8"/>
      <c r="BD12" s="8"/>
      <c r="BE12" s="8"/>
      <c r="BF12" s="8"/>
      <c r="BG12" s="8"/>
      <c r="BH12" s="8"/>
      <c r="BI12" s="8"/>
      <c r="BJ12" s="8"/>
      <c r="BK12" s="8"/>
      <c r="BL12" s="8"/>
      <c r="BM12" s="8"/>
      <c r="BN12" s="8"/>
      <c r="BO12" s="8"/>
    </row>
    <row r="13" spans="1:67" ht="103.5" customHeight="1" x14ac:dyDescent="0.3">
      <c r="A13" s="223">
        <v>5</v>
      </c>
      <c r="B13" s="224" t="s">
        <v>297</v>
      </c>
      <c r="C13" s="226" t="s">
        <v>128</v>
      </c>
      <c r="D13" s="226" t="s">
        <v>228</v>
      </c>
      <c r="E13" s="226" t="s">
        <v>229</v>
      </c>
      <c r="F13" s="228" t="s">
        <v>319</v>
      </c>
      <c r="G13" s="220" t="s">
        <v>122</v>
      </c>
      <c r="H13" s="216">
        <v>20</v>
      </c>
      <c r="I13" s="218" t="str">
        <f>IF(H13&lt;=0,"",IF(H13&lt;=2,"Muy Baja",IF(H13&lt;=24,"Baja",IF(H13&lt;=500,"Media",IF(H13&lt;=5000,"Alta","Muy Alta")))))</f>
        <v>Baja</v>
      </c>
      <c r="J13" s="214">
        <f>IF(I13="","",IF(I13="Muy Baja",0.2,IF(I13="Baja",0.4,IF(I13="Media",0.6,IF(I13="Alta",0.8,IF(I13="Muy Alta",1,))))))</f>
        <v>0.4</v>
      </c>
      <c r="K13" s="238" t="s">
        <v>150</v>
      </c>
      <c r="L13" s="214" t="str">
        <f>IF(NOT(ISERROR(MATCH(K13,'Tabla Impacto'!$B$221:$B$223,0))),'Tabla Impacto'!$F$223&amp;"Por favor no seleccionar los criterios de impacto(Afectación Económica o presupuestal y Pérdida Reputacional)",K13)</f>
        <v xml:space="preserve">     El riesgo afecta la imagen de la entidad internamente, de conocimiento general, nivel interno, de junta dircetiva y accionistas y/o de provedores</v>
      </c>
      <c r="M13" s="235" t="str">
        <f>IF(OR(L13='Tabla Impacto'!$C$11,L13='Tabla Impacto'!$D$11),"Leve",IF(OR(L13='Tabla Impacto'!$C$12,L13='Tabla Impacto'!$D$12),"Menor",IF(OR(L13='Tabla Impacto'!$C$13,L13='Tabla Impacto'!$D$13),"Moderado",IF(OR(L13='Tabla Impacto'!$C$14,L13='Tabla Impacto'!$D$14),"Mayor",IF(OR(L13='Tabla Impacto'!$C$15,L13='Tabla Impacto'!$D$15),"Catastrófico","")))))</f>
        <v>Menor</v>
      </c>
      <c r="N13" s="214">
        <f>IF(M13="","",IF(M13="Leve",0.2,IF(M13="Menor",0.4,IF(M13="Moderado",0.6,IF(M13="Mayor",0.8,IF(M13="Catastrófico",1,))))))</f>
        <v>0.4</v>
      </c>
      <c r="O13" s="233" t="str">
        <f>IF(OR(AND(I13="Muy Baja",M13="Leve"),AND(I13="Muy Baja",M13="Menor"),AND(I13="Baja",M13="Leve")),"Bajo",IF(OR(AND(I13="Muy baja",M13="Moderado"),AND(I13="Baja",M13="Menor"),AND(I13="Baja",M13="Moderado"),AND(I13="Media",M13="Leve"),AND(I13="Media",M13="Menor"),AND(I13="Media",M13="Moderado"),AND(I13="Alta",M13="Leve"),AND(I13="Alta",M13="Menor")),"Moderado",IF(OR(AND(I13="Muy Baja",M13="Mayor"),AND(I13="Baja",M13="Mayor"),AND(I13="Media",M13="Mayor"),AND(I13="Alta",M13="Moderado"),AND(I13="Alta",M13="Mayor"),AND(I13="Muy Alta",M13="Leve"),AND(I13="Muy Alta",M13="Menor"),AND(I13="Muy Alta",M13="Moderado"),AND(I13="Muy Alta",M13="Mayor")),"Alto",IF(OR(AND(I13="Muy Baja",M13="Catastrófico"),AND(I13="Baja",M13="Catastrófico"),AND(I13="Media",M13="Catastrófico"),AND(I13="Alta",M13="Catastrófico"),AND(I13="Muy Alta",M13="Catastrófico")),"Extremo",""))))</f>
        <v>Moderado</v>
      </c>
      <c r="P13" s="121">
        <v>1</v>
      </c>
      <c r="Q13" s="150" t="s">
        <v>284</v>
      </c>
      <c r="R13" s="122" t="str">
        <f t="shared" si="17"/>
        <v>Probabilidad</v>
      </c>
      <c r="S13" s="123" t="s">
        <v>14</v>
      </c>
      <c r="T13" s="123" t="s">
        <v>9</v>
      </c>
      <c r="U13" s="124" t="str">
        <f>IF(AND(S13="Preventivo",T13="Automático"),"50%",IF(AND(S13="Preventivo",T13="Manual"),"40%",IF(AND(S13="Detectivo",T13="Automático"),"40%",IF(AND(S13="Detectivo",T13="Manual"),"30%",IF(AND(S13="Correctivo",T13="Automático"),"35%",IF(AND(S13="Correctivo",T13="Manual"),"25%",""))))))</f>
        <v>40%</v>
      </c>
      <c r="V13" s="123" t="s">
        <v>19</v>
      </c>
      <c r="W13" s="123" t="s">
        <v>22</v>
      </c>
      <c r="X13" s="123" t="s">
        <v>117</v>
      </c>
      <c r="Y13" s="125">
        <f>IFERROR(IF(R13="Probabilidad",(J13-(+J13*U13)),IF(R13="Impacto",J13,"")),"")</f>
        <v>0.24</v>
      </c>
      <c r="Z13" s="126" t="str">
        <f>IFERROR(IF(Y13="","",IF(Y13&lt;=0.2,"Muy Baja",IF(Y13&lt;=0.4,"Baja",IF(Y13&lt;=0.6,"Media",IF(Y13&lt;=0.8,"Alta","Muy Alta"))))),"")</f>
        <v>Baja</v>
      </c>
      <c r="AA13" s="127">
        <f>+Y13</f>
        <v>0.24</v>
      </c>
      <c r="AB13" s="126" t="str">
        <f t="shared" si="14"/>
        <v>Moderado</v>
      </c>
      <c r="AC13" s="127">
        <f t="shared" si="15"/>
        <v>0.6</v>
      </c>
      <c r="AD13" s="128" t="str">
        <f t="shared" si="16"/>
        <v>Moderado</v>
      </c>
      <c r="AE13" s="129" t="s">
        <v>32</v>
      </c>
      <c r="AF13" s="130"/>
      <c r="AG13" s="130"/>
      <c r="AH13" s="132"/>
      <c r="AI13" s="132"/>
      <c r="AJ13" s="130"/>
      <c r="AK13" s="131"/>
      <c r="AL13" s="129" t="s">
        <v>32</v>
      </c>
      <c r="AM13" s="130" t="s">
        <v>337</v>
      </c>
      <c r="AN13" s="130"/>
      <c r="AO13" s="130"/>
      <c r="AP13" s="131"/>
      <c r="AQ13" s="131"/>
      <c r="AR13" s="132"/>
      <c r="AS13" s="132"/>
      <c r="AT13" s="130"/>
      <c r="AU13" s="131"/>
      <c r="AV13" s="8"/>
      <c r="AW13" s="8"/>
      <c r="AX13" s="8"/>
      <c r="AY13" s="8"/>
      <c r="AZ13" s="8"/>
      <c r="BA13" s="8"/>
      <c r="BB13" s="8"/>
      <c r="BC13" s="8"/>
      <c r="BD13" s="8"/>
      <c r="BE13" s="8"/>
      <c r="BF13" s="8"/>
      <c r="BG13" s="8"/>
      <c r="BH13" s="8"/>
      <c r="BI13" s="8"/>
      <c r="BJ13" s="8"/>
      <c r="BK13" s="8"/>
      <c r="BL13" s="8"/>
      <c r="BM13" s="8"/>
      <c r="BN13" s="8"/>
      <c r="BO13" s="8"/>
    </row>
    <row r="14" spans="1:67" ht="72" customHeight="1" x14ac:dyDescent="0.3">
      <c r="A14" s="222"/>
      <c r="B14" s="225"/>
      <c r="C14" s="227"/>
      <c r="D14" s="227"/>
      <c r="E14" s="227"/>
      <c r="F14" s="229"/>
      <c r="G14" s="230"/>
      <c r="H14" s="217"/>
      <c r="I14" s="219"/>
      <c r="J14" s="215"/>
      <c r="K14" s="237"/>
      <c r="L14" s="215">
        <f>IF(NOT(ISERROR(MATCH(K14,_xlfn.ANCHORARRAY(F18),0))),#REF!&amp;"Por favor no seleccionar los criterios de impacto",K14)</f>
        <v>0</v>
      </c>
      <c r="M14" s="286"/>
      <c r="N14" s="215"/>
      <c r="O14" s="234"/>
      <c r="P14" s="121">
        <v>2</v>
      </c>
      <c r="Q14" s="150" t="s">
        <v>285</v>
      </c>
      <c r="R14" s="122" t="str">
        <f t="shared" si="17"/>
        <v>Probabilidad</v>
      </c>
      <c r="S14" s="123" t="s">
        <v>15</v>
      </c>
      <c r="T14" s="123" t="s">
        <v>9</v>
      </c>
      <c r="U14" s="124" t="str">
        <f t="shared" ref="U14" si="18">IF(AND(S14="Preventivo",T14="Automático"),"50%",IF(AND(S14="Preventivo",T14="Manual"),"40%",IF(AND(S14="Detectivo",T14="Automático"),"40%",IF(AND(S14="Detectivo",T14="Manual"),"30%",IF(AND(S14="Correctivo",T14="Automático"),"35%",IF(AND(S14="Correctivo",T14="Manual"),"25%",""))))))</f>
        <v>30%</v>
      </c>
      <c r="V14" s="123" t="s">
        <v>19</v>
      </c>
      <c r="W14" s="123" t="s">
        <v>23</v>
      </c>
      <c r="X14" s="123" t="s">
        <v>118</v>
      </c>
      <c r="Y14" s="125">
        <f>IFERROR(IF(AND(R13="Probabilidad",R14="Probabilidad"),(AA13-(+AA13*U14)),IF(R14="Probabilidad",(J13-(+J13*U14)),IF(R14="Impacto",AA13,""))),"")</f>
        <v>0.16799999999999998</v>
      </c>
      <c r="Z14" s="126" t="str">
        <f t="shared" si="6"/>
        <v>Muy Baja</v>
      </c>
      <c r="AA14" s="127">
        <f t="shared" ref="AA14" si="19">+Y14</f>
        <v>0.16799999999999998</v>
      </c>
      <c r="AB14" s="126" t="str">
        <f t="shared" si="14"/>
        <v>Moderado</v>
      </c>
      <c r="AC14" s="127">
        <f t="shared" si="15"/>
        <v>0.6</v>
      </c>
      <c r="AD14" s="128" t="str">
        <f t="shared" si="16"/>
        <v>Moderado</v>
      </c>
      <c r="AE14" s="129" t="s">
        <v>32</v>
      </c>
      <c r="AF14" s="130"/>
      <c r="AG14" s="131"/>
      <c r="AH14" s="132"/>
      <c r="AI14" s="132"/>
      <c r="AJ14" s="130"/>
      <c r="AK14" s="131"/>
      <c r="AL14" s="129" t="s">
        <v>32</v>
      </c>
      <c r="AM14" s="130"/>
      <c r="AN14" s="130"/>
      <c r="AO14" s="130"/>
      <c r="AP14" s="131"/>
      <c r="AQ14" s="131"/>
      <c r="AR14" s="132"/>
      <c r="AS14" s="132"/>
      <c r="AT14" s="130"/>
      <c r="AU14" s="131"/>
      <c r="AV14" s="8"/>
      <c r="AW14" s="8"/>
      <c r="AX14" s="8"/>
      <c r="AY14" s="8"/>
      <c r="AZ14" s="8"/>
      <c r="BA14" s="8"/>
      <c r="BB14" s="8"/>
      <c r="BC14" s="8"/>
      <c r="BD14" s="8"/>
      <c r="BE14" s="8"/>
      <c r="BF14" s="8"/>
      <c r="BG14" s="8"/>
      <c r="BH14" s="8"/>
      <c r="BI14" s="8"/>
      <c r="BJ14" s="8"/>
      <c r="BK14" s="8"/>
      <c r="BL14" s="8"/>
      <c r="BM14" s="8"/>
      <c r="BN14" s="8"/>
      <c r="BO14" s="8"/>
    </row>
    <row r="15" spans="1:67" ht="50.25" customHeight="1" x14ac:dyDescent="0.3">
      <c r="A15" s="223">
        <v>6</v>
      </c>
      <c r="B15" s="224" t="s">
        <v>230</v>
      </c>
      <c r="C15" s="226" t="s">
        <v>129</v>
      </c>
      <c r="D15" s="226" t="s">
        <v>320</v>
      </c>
      <c r="E15" s="226" t="s">
        <v>231</v>
      </c>
      <c r="F15" s="228" t="s">
        <v>321</v>
      </c>
      <c r="G15" s="220" t="s">
        <v>308</v>
      </c>
      <c r="H15" s="216">
        <v>2</v>
      </c>
      <c r="I15" s="218" t="str">
        <f>IF(H15&lt;=0,"",IF(H15&lt;=2,"Muy Baja",IF(H15&lt;=24,"Baja",IF(H15&lt;=500,"Media",IF(H15&lt;=5000,"Alta","Muy Alta")))))</f>
        <v>Muy Baja</v>
      </c>
      <c r="J15" s="214">
        <f>IF(I15="","",IF(I15="Muy Baja",0.2,IF(I15="Baja",0.4,IF(I15="Media",0.6,IF(I15="Alta",0.8,IF(I15="Muy Alta",1,))))))</f>
        <v>0.2</v>
      </c>
      <c r="K15" s="238" t="s">
        <v>150</v>
      </c>
      <c r="L15" s="214" t="str">
        <f>IF(NOT(ISERROR(MATCH(K15,'Tabla Impacto'!$B$221:$B$223,0))),'Tabla Impacto'!$F$223&amp;"Por favor no seleccionar los criterios de impacto(Afectación Económica o presupuestal y Pérdida Reputacional)",K15)</f>
        <v xml:space="preserve">     El riesgo afecta la imagen de la entidad internamente, de conocimiento general, nivel interno, de junta dircetiva y accionistas y/o de provedores</v>
      </c>
      <c r="M15" s="235" t="str">
        <f>IF(OR(L15='Tabla Impacto'!$C$11,L15='Tabla Impacto'!$D$11),"Leve",IF(OR(L15='Tabla Impacto'!$C$12,L15='Tabla Impacto'!$D$12),"Menor",IF(OR(L15='Tabla Impacto'!$C$13,L15='Tabla Impacto'!$D$13),"Moderado",IF(OR(L15='Tabla Impacto'!$C$14,L15='Tabla Impacto'!$D$14),"Mayor",IF(OR(L15='Tabla Impacto'!$C$15,L15='Tabla Impacto'!$D$15),"Catastrófico","")))))</f>
        <v>Menor</v>
      </c>
      <c r="N15" s="214">
        <f>IF(M15="","",IF(M15="Leve",0.2,IF(M15="Menor",0.4,IF(M15="Moderado",0.6,IF(M15="Mayor",0.8,IF(M15="Catastrófico",1,))))))</f>
        <v>0.4</v>
      </c>
      <c r="O15" s="233" t="str">
        <f>IF(OR(AND(I15="Muy Baja",M15="Leve"),AND(I15="Muy Baja",M15="Menor"),AND(I15="Baja",M15="Leve")),"Bajo",IF(OR(AND(I15="Muy baja",M15="Moderado"),AND(I15="Baja",M15="Menor"),AND(I15="Baja",M15="Moderado"),AND(I15="Media",M15="Leve"),AND(I15="Media",M15="Menor"),AND(I15="Media",M15="Moderado"),AND(I15="Alta",M15="Leve"),AND(I15="Alta",M15="Menor")),"Moderado",IF(OR(AND(I15="Muy Baja",M15="Mayor"),AND(I15="Baja",M15="Mayor"),AND(I15="Media",M15="Mayor"),AND(I15="Alta",M15="Moderado"),AND(I15="Alta",M15="Mayor"),AND(I15="Muy Alta",M15="Leve"),AND(I15="Muy Alta",M15="Menor"),AND(I15="Muy Alta",M15="Moderado"),AND(I15="Muy Alta",M15="Mayor")),"Alto",IF(OR(AND(I15="Muy Baja",M15="Catastrófico"),AND(I15="Baja",M15="Catastrófico"),AND(I15="Media",M15="Catastrófico"),AND(I15="Alta",M15="Catastrófico"),AND(I15="Muy Alta",M15="Catastrófico")),"Extremo",""))))</f>
        <v>Bajo</v>
      </c>
      <c r="P15" s="121">
        <v>1</v>
      </c>
      <c r="Q15" s="150" t="s">
        <v>232</v>
      </c>
      <c r="R15" s="122" t="str">
        <f t="shared" si="17"/>
        <v>Probabilidad</v>
      </c>
      <c r="S15" s="123" t="s">
        <v>14</v>
      </c>
      <c r="T15" s="123" t="s">
        <v>10</v>
      </c>
      <c r="U15" s="124" t="str">
        <f>IF(AND(S15="Preventivo",T15="Automático"),"50%",IF(AND(S15="Preventivo",T15="Manual"),"40%",IF(AND(S15="Detectivo",T15="Automático"),"40%",IF(AND(S15="Detectivo",T15="Manual"),"30%",IF(AND(S15="Correctivo",T15="Automático"),"35%",IF(AND(S15="Correctivo",T15="Manual"),"25%",""))))))</f>
        <v>50%</v>
      </c>
      <c r="V15" s="123" t="s">
        <v>19</v>
      </c>
      <c r="W15" s="123" t="s">
        <v>22</v>
      </c>
      <c r="X15" s="123" t="s">
        <v>117</v>
      </c>
      <c r="Y15" s="125">
        <f>IFERROR(IF(R15="Probabilidad",(J15-(+J15*U15)),IF(R15="Impacto",J15,"")),"")</f>
        <v>0.1</v>
      </c>
      <c r="Z15" s="126" t="str">
        <f>IFERROR(IF(Y15="","",IF(Y15&lt;=0.2,"Muy Baja",IF(Y15&lt;=0.4,"Baja",IF(Y15&lt;=0.6,"Media",IF(Y15&lt;=0.8,"Alta","Muy Alta"))))),"")</f>
        <v>Muy Baja</v>
      </c>
      <c r="AA15" s="127">
        <f>+Y15</f>
        <v>0.1</v>
      </c>
      <c r="AB15" s="126" t="str">
        <f t="shared" si="14"/>
        <v>Moderado</v>
      </c>
      <c r="AC15" s="127">
        <f t="shared" si="15"/>
        <v>0.6</v>
      </c>
      <c r="AD15" s="128" t="str">
        <f t="shared" si="16"/>
        <v>Moderado</v>
      </c>
      <c r="AE15" s="129" t="s">
        <v>32</v>
      </c>
      <c r="AF15" s="130"/>
      <c r="AG15" s="131"/>
      <c r="AH15" s="132"/>
      <c r="AI15" s="132"/>
      <c r="AJ15" s="130"/>
      <c r="AK15" s="131"/>
      <c r="AL15" s="129" t="s">
        <v>32</v>
      </c>
      <c r="AM15" s="130"/>
      <c r="AN15" s="130"/>
      <c r="AO15" s="130"/>
      <c r="AP15" s="131"/>
      <c r="AQ15" s="131"/>
      <c r="AR15" s="132"/>
      <c r="AS15" s="132"/>
      <c r="AT15" s="130"/>
      <c r="AU15" s="131"/>
      <c r="AV15" s="8"/>
      <c r="AW15" s="8"/>
      <c r="AX15" s="8"/>
      <c r="AY15" s="8"/>
      <c r="AZ15" s="8"/>
      <c r="BA15" s="8"/>
      <c r="BB15" s="8"/>
      <c r="BC15" s="8"/>
      <c r="BD15" s="8"/>
      <c r="BE15" s="8"/>
      <c r="BF15" s="8"/>
      <c r="BG15" s="8"/>
      <c r="BH15" s="8"/>
      <c r="BI15" s="8"/>
      <c r="BJ15" s="8"/>
      <c r="BK15" s="8"/>
      <c r="BL15" s="8"/>
      <c r="BM15" s="8"/>
      <c r="BN15" s="8"/>
      <c r="BO15" s="8"/>
    </row>
    <row r="16" spans="1:67" ht="50.25" customHeight="1" x14ac:dyDescent="0.3">
      <c r="A16" s="222"/>
      <c r="B16" s="243"/>
      <c r="C16" s="227"/>
      <c r="D16" s="227"/>
      <c r="E16" s="227"/>
      <c r="F16" s="229"/>
      <c r="G16" s="230"/>
      <c r="H16" s="217"/>
      <c r="I16" s="219"/>
      <c r="J16" s="215"/>
      <c r="K16" s="237"/>
      <c r="L16" s="215">
        <f>IF(NOT(ISERROR(MATCH(K16,_xlfn.ANCHORARRAY(F20),0))),#REF!&amp;"Por favor no seleccionar los criterios de impacto",K16)</f>
        <v>0</v>
      </c>
      <c r="M16" s="236"/>
      <c r="N16" s="215"/>
      <c r="O16" s="234"/>
      <c r="P16" s="121">
        <v>2</v>
      </c>
      <c r="Q16" s="150" t="s">
        <v>233</v>
      </c>
      <c r="R16" s="122" t="str">
        <f t="shared" si="17"/>
        <v>Impacto</v>
      </c>
      <c r="S16" s="123" t="s">
        <v>16</v>
      </c>
      <c r="T16" s="123" t="s">
        <v>9</v>
      </c>
      <c r="U16" s="124" t="str">
        <f t="shared" ref="U16:U17" si="20">IF(AND(S16="Preventivo",T16="Automático"),"50%",IF(AND(S16="Preventivo",T16="Manual"),"40%",IF(AND(S16="Detectivo",T16="Automático"),"40%",IF(AND(S16="Detectivo",T16="Manual"),"30%",IF(AND(S16="Correctivo",T16="Automático"),"35%",IF(AND(S16="Correctivo",T16="Manual"),"25%",""))))))</f>
        <v>25%</v>
      </c>
      <c r="V16" s="123" t="s">
        <v>19</v>
      </c>
      <c r="W16" s="123" t="s">
        <v>23</v>
      </c>
      <c r="X16" s="123" t="s">
        <v>117</v>
      </c>
      <c r="Y16" s="125">
        <f>IFERROR(IF(AND(R15="Probabilidad",R16="Probabilidad"),(AA15-(+AA15*U16)),IF(R16="Probabilidad",(J15-(+J15*U16)),IF(R16="Impacto",AA15,""))),"")</f>
        <v>0.1</v>
      </c>
      <c r="Z16" s="126" t="str">
        <f t="shared" si="6"/>
        <v>Muy Baja</v>
      </c>
      <c r="AA16" s="127">
        <f t="shared" ref="AA16:AA17" si="21">+Y16</f>
        <v>0.1</v>
      </c>
      <c r="AB16" s="126" t="str">
        <f t="shared" si="14"/>
        <v>Menor</v>
      </c>
      <c r="AC16" s="127">
        <f t="shared" si="15"/>
        <v>0.30000000000000004</v>
      </c>
      <c r="AD16" s="128" t="str">
        <f t="shared" si="16"/>
        <v>Bajo</v>
      </c>
      <c r="AE16" s="129" t="s">
        <v>132</v>
      </c>
      <c r="AF16" s="130"/>
      <c r="AG16" s="131"/>
      <c r="AH16" s="132"/>
      <c r="AI16" s="132"/>
      <c r="AJ16" s="130"/>
      <c r="AK16" s="131"/>
      <c r="AL16" s="129" t="s">
        <v>132</v>
      </c>
      <c r="AM16" s="130"/>
      <c r="AN16" s="130"/>
      <c r="AO16" s="130"/>
      <c r="AP16" s="131"/>
      <c r="AQ16" s="131"/>
      <c r="AR16" s="132"/>
      <c r="AS16" s="132"/>
      <c r="AT16" s="130"/>
      <c r="AU16" s="131"/>
      <c r="AV16" s="8"/>
      <c r="AW16" s="8"/>
      <c r="AX16" s="8"/>
      <c r="AY16" s="8"/>
      <c r="AZ16" s="8"/>
      <c r="BA16" s="8"/>
      <c r="BB16" s="8"/>
      <c r="BC16" s="8"/>
      <c r="BD16" s="8"/>
      <c r="BE16" s="8"/>
      <c r="BF16" s="8"/>
      <c r="BG16" s="8"/>
      <c r="BH16" s="8"/>
      <c r="BI16" s="8"/>
      <c r="BJ16" s="8"/>
      <c r="BK16" s="8"/>
      <c r="BL16" s="8"/>
      <c r="BM16" s="8"/>
      <c r="BN16" s="8"/>
      <c r="BO16" s="8"/>
    </row>
    <row r="17" spans="1:67" ht="50.25" customHeight="1" x14ac:dyDescent="0.3">
      <c r="A17" s="222"/>
      <c r="B17" s="225"/>
      <c r="C17" s="227"/>
      <c r="D17" s="227"/>
      <c r="E17" s="227"/>
      <c r="F17" s="229"/>
      <c r="G17" s="230"/>
      <c r="H17" s="217"/>
      <c r="I17" s="219"/>
      <c r="J17" s="215"/>
      <c r="K17" s="237"/>
      <c r="L17" s="215">
        <f>IF(NOT(ISERROR(MATCH(K17,_xlfn.ANCHORARRAY(F21),0))),#REF!&amp;"Por favor no seleccionar los criterios de impacto",K17)</f>
        <v>0</v>
      </c>
      <c r="M17" s="236"/>
      <c r="N17" s="215"/>
      <c r="O17" s="234"/>
      <c r="P17" s="121">
        <v>3</v>
      </c>
      <c r="Q17" s="133" t="s">
        <v>322</v>
      </c>
      <c r="R17" s="122" t="str">
        <f t="shared" si="17"/>
        <v>Probabilidad</v>
      </c>
      <c r="S17" s="123" t="s">
        <v>14</v>
      </c>
      <c r="T17" s="123" t="s">
        <v>9</v>
      </c>
      <c r="U17" s="124" t="str">
        <f t="shared" si="20"/>
        <v>40%</v>
      </c>
      <c r="V17" s="123" t="s">
        <v>19</v>
      </c>
      <c r="W17" s="123" t="s">
        <v>22</v>
      </c>
      <c r="X17" s="123" t="s">
        <v>117</v>
      </c>
      <c r="Y17" s="125">
        <f>IFERROR(IF(AND(R16="Probabilidad",R17="Probabilidad"),(AA16-(+AA16*U17)),IF(AND(R16="Impacto",R17="Probabilidad"),(AA15-(+AA15*U17)),IF(R17="Impacto",AA16,""))),"")</f>
        <v>0.06</v>
      </c>
      <c r="Z17" s="126" t="str">
        <f t="shared" si="6"/>
        <v>Muy Baja</v>
      </c>
      <c r="AA17" s="127">
        <f t="shared" si="21"/>
        <v>0.06</v>
      </c>
      <c r="AB17" s="126" t="str">
        <f t="shared" si="14"/>
        <v>Menor</v>
      </c>
      <c r="AC17" s="127">
        <f t="shared" si="15"/>
        <v>0.30000000000000004</v>
      </c>
      <c r="AD17" s="128" t="str">
        <f t="shared" si="16"/>
        <v>Bajo</v>
      </c>
      <c r="AE17" s="129" t="s">
        <v>32</v>
      </c>
      <c r="AF17" s="130"/>
      <c r="AG17" s="131"/>
      <c r="AH17" s="132"/>
      <c r="AI17" s="132"/>
      <c r="AJ17" s="130"/>
      <c r="AK17" s="131"/>
      <c r="AL17" s="129" t="s">
        <v>32</v>
      </c>
      <c r="AM17" s="130"/>
      <c r="AN17" s="130"/>
      <c r="AO17" s="130"/>
      <c r="AP17" s="131"/>
      <c r="AQ17" s="131"/>
      <c r="AR17" s="132"/>
      <c r="AS17" s="132"/>
      <c r="AT17" s="130"/>
      <c r="AU17" s="131"/>
      <c r="AV17" s="8"/>
      <c r="AW17" s="8"/>
      <c r="AX17" s="8"/>
      <c r="AY17" s="8"/>
      <c r="AZ17" s="8"/>
      <c r="BA17" s="8"/>
      <c r="BB17" s="8"/>
      <c r="BC17" s="8"/>
      <c r="BD17" s="8"/>
      <c r="BE17" s="8"/>
      <c r="BF17" s="8"/>
      <c r="BG17" s="8"/>
      <c r="BH17" s="8"/>
      <c r="BI17" s="8"/>
      <c r="BJ17" s="8"/>
      <c r="BK17" s="8"/>
      <c r="BL17" s="8"/>
      <c r="BM17" s="8"/>
      <c r="BN17" s="8"/>
      <c r="BO17" s="8"/>
    </row>
    <row r="18" spans="1:67" ht="126.75" customHeight="1" x14ac:dyDescent="0.3">
      <c r="A18" s="223">
        <v>7</v>
      </c>
      <c r="B18" s="224" t="s">
        <v>300</v>
      </c>
      <c r="C18" s="226" t="s">
        <v>128</v>
      </c>
      <c r="D18" s="226" t="s">
        <v>303</v>
      </c>
      <c r="E18" s="226" t="s">
        <v>302</v>
      </c>
      <c r="F18" s="228" t="s">
        <v>301</v>
      </c>
      <c r="G18" s="220" t="s">
        <v>123</v>
      </c>
      <c r="H18" s="216">
        <v>5</v>
      </c>
      <c r="I18" s="218" t="str">
        <f>IF(H18&lt;=0,"",IF(H18&lt;=2,"Muy Baja",IF(H18&lt;=24,"Baja",IF(H18&lt;=500,"Media",IF(H18&lt;=5000,"Alta","Muy Alta")))))</f>
        <v>Baja</v>
      </c>
      <c r="J18" s="214">
        <f>IF(I18="","",IF(I18="Muy Baja",0.2,IF(I18="Baja",0.4,IF(I18="Media",0.6,IF(I18="Alta",0.8,IF(I18="Muy Alta",1,))))))</f>
        <v>0.4</v>
      </c>
      <c r="K18" s="238" t="s">
        <v>150</v>
      </c>
      <c r="L18" s="214" t="str">
        <f>IF(NOT(ISERROR(MATCH(K18,'Tabla Impacto'!$B$221:$B$223,0))),'Tabla Impacto'!$F$223&amp;"Por favor no seleccionar los criterios de impacto(Afectación Económica o presupuestal y Pérdida Reputacional)",K18)</f>
        <v xml:space="preserve">     El riesgo afecta la imagen de la entidad internamente, de conocimiento general, nivel interno, de junta dircetiva y accionistas y/o de provedores</v>
      </c>
      <c r="M18" s="235" t="str">
        <f>IF(OR(L18='Tabla Impacto'!$C$11,L18='Tabla Impacto'!$D$11),"Leve",IF(OR(L18='Tabla Impacto'!$C$12,L18='Tabla Impacto'!$D$12),"Menor",IF(OR(L18='Tabla Impacto'!$C$13,L18='Tabla Impacto'!$D$13),"Moderado",IF(OR(L18='Tabla Impacto'!$C$14,L18='Tabla Impacto'!$D$14),"Mayor",IF(OR(L18='Tabla Impacto'!$C$15,L18='Tabla Impacto'!$D$15),"Catastrófico","")))))</f>
        <v>Menor</v>
      </c>
      <c r="N18" s="214">
        <f>IF(M18="","",IF(M18="Leve",0.2,IF(M18="Menor",0.4,IF(M18="Moderado",0.6,IF(M18="Mayor",0.8,IF(M18="Catastrófico",1,))))))</f>
        <v>0.4</v>
      </c>
      <c r="O18" s="233" t="str">
        <f>IF(OR(AND(I18="Muy Baja",M18="Leve"),AND(I18="Muy Baja",M18="Menor"),AND(I18="Baja",M18="Leve")),"Bajo",IF(OR(AND(I18="Muy baja",M18="Moderado"),AND(I18="Baja",M18="Menor"),AND(I18="Baja",M18="Moderado"),AND(I18="Media",M18="Leve"),AND(I18="Media",M18="Menor"),AND(I18="Media",M18="Moderado"),AND(I18="Alta",M18="Leve"),AND(I18="Alta",M18="Menor")),"Moderado",IF(OR(AND(I18="Muy Baja",M18="Mayor"),AND(I18="Baja",M18="Mayor"),AND(I18="Media",M18="Mayor"),AND(I18="Alta",M18="Moderado"),AND(I18="Alta",M18="Mayor"),AND(I18="Muy Alta",M18="Leve"),AND(I18="Muy Alta",M18="Menor"),AND(I18="Muy Alta",M18="Moderado"),AND(I18="Muy Alta",M18="Mayor")),"Alto",IF(OR(AND(I18="Muy Baja",M18="Catastrófico"),AND(I18="Baja",M18="Catastrófico"),AND(I18="Media",M18="Catastrófico"),AND(I18="Alta",M18="Catastrófico"),AND(I18="Muy Alta",M18="Catastrófico")),"Extremo",""))))</f>
        <v>Moderado</v>
      </c>
      <c r="P18" s="121">
        <v>1</v>
      </c>
      <c r="Q18" s="150" t="s">
        <v>234</v>
      </c>
      <c r="R18" s="122" t="str">
        <f t="shared" ref="R18:R23" si="22">IF(OR(S18="Preventivo",S18="Detectivo"),"Probabilidad",IF(S18="Correctivo","Impacto",""))</f>
        <v>Probabilidad</v>
      </c>
      <c r="S18" s="123" t="s">
        <v>14</v>
      </c>
      <c r="T18" s="123" t="s">
        <v>9</v>
      </c>
      <c r="U18" s="124" t="str">
        <f>IF(AND(S18="Preventivo",T18="Automático"),"50%",IF(AND(S18="Preventivo",T18="Manual"),"40%",IF(AND(S18="Detectivo",T18="Automático"),"40%",IF(AND(S18="Detectivo",T18="Manual"),"30%",IF(AND(S18="Correctivo",T18="Automático"),"35%",IF(AND(S18="Correctivo",T18="Manual"),"25%",""))))))</f>
        <v>40%</v>
      </c>
      <c r="V18" s="123" t="s">
        <v>20</v>
      </c>
      <c r="W18" s="123" t="s">
        <v>22</v>
      </c>
      <c r="X18" s="123" t="s">
        <v>117</v>
      </c>
      <c r="Y18" s="125">
        <f>IFERROR(IF(R18="Probabilidad",(J18-(+J18*U18)),IF(R18="Impacto",J18,"")),"")</f>
        <v>0.24</v>
      </c>
      <c r="Z18" s="126" t="str">
        <f>IFERROR(IF(Y18="","",IF(Y18&lt;=0.2,"Muy Baja",IF(Y18&lt;=0.4,"Baja",IF(Y18&lt;=0.6,"Media",IF(Y18&lt;=0.8,"Alta","Muy Alta"))))),"")</f>
        <v>Baja</v>
      </c>
      <c r="AA18" s="127">
        <f>+Y18</f>
        <v>0.24</v>
      </c>
      <c r="AB18" s="126" t="str">
        <f t="shared" si="14"/>
        <v>Menor</v>
      </c>
      <c r="AC18" s="127">
        <f t="shared" si="15"/>
        <v>0.30000000000000004</v>
      </c>
      <c r="AD18" s="128" t="str">
        <f t="shared" si="16"/>
        <v>Moderado</v>
      </c>
      <c r="AE18" s="129" t="s">
        <v>132</v>
      </c>
      <c r="AF18" s="130" t="s">
        <v>323</v>
      </c>
      <c r="AG18" s="131"/>
      <c r="AH18" s="132"/>
      <c r="AI18" s="132"/>
      <c r="AJ18" s="130"/>
      <c r="AK18" s="131"/>
      <c r="AL18" s="129" t="s">
        <v>132</v>
      </c>
      <c r="AM18" s="130"/>
      <c r="AN18" s="130"/>
      <c r="AO18" s="130"/>
      <c r="AP18" s="131"/>
      <c r="AQ18" s="131"/>
      <c r="AR18" s="132"/>
      <c r="AS18" s="132"/>
      <c r="AT18" s="130"/>
      <c r="AU18" s="131"/>
      <c r="AV18" s="8"/>
      <c r="AW18" s="8"/>
      <c r="AX18" s="8"/>
      <c r="AY18" s="8"/>
      <c r="AZ18" s="8"/>
      <c r="BA18" s="8"/>
      <c r="BB18" s="8"/>
      <c r="BC18" s="8"/>
      <c r="BD18" s="8"/>
      <c r="BE18" s="8"/>
      <c r="BF18" s="8"/>
      <c r="BG18" s="8"/>
      <c r="BH18" s="8"/>
      <c r="BI18" s="8"/>
      <c r="BJ18" s="8"/>
      <c r="BK18" s="8"/>
      <c r="BL18" s="8"/>
      <c r="BM18" s="8"/>
      <c r="BN18" s="8"/>
      <c r="BO18" s="8"/>
    </row>
    <row r="19" spans="1:67" ht="96" customHeight="1" x14ac:dyDescent="0.3">
      <c r="A19" s="222"/>
      <c r="B19" s="225"/>
      <c r="C19" s="227"/>
      <c r="D19" s="227"/>
      <c r="E19" s="227"/>
      <c r="F19" s="262"/>
      <c r="G19" s="230"/>
      <c r="H19" s="217"/>
      <c r="I19" s="219"/>
      <c r="J19" s="215"/>
      <c r="K19" s="237"/>
      <c r="L19" s="215">
        <f>IF(NOT(ISERROR(MATCH(K19,_xlfn.ANCHORARRAY(F22),0))),#REF!&amp;"Por favor no seleccionar los criterios de impacto",K19)</f>
        <v>0</v>
      </c>
      <c r="M19" s="236"/>
      <c r="N19" s="215"/>
      <c r="O19" s="234"/>
      <c r="P19" s="121">
        <v>2</v>
      </c>
      <c r="Q19" s="150" t="s">
        <v>235</v>
      </c>
      <c r="R19" s="122" t="str">
        <f t="shared" si="22"/>
        <v>Probabilidad</v>
      </c>
      <c r="S19" s="123" t="s">
        <v>15</v>
      </c>
      <c r="T19" s="123" t="s">
        <v>9</v>
      </c>
      <c r="U19" s="124" t="str">
        <f t="shared" ref="U19" si="23">IF(AND(S19="Preventivo",T19="Automático"),"50%",IF(AND(S19="Preventivo",T19="Manual"),"40%",IF(AND(S19="Detectivo",T19="Automático"),"40%",IF(AND(S19="Detectivo",T19="Manual"),"30%",IF(AND(S19="Correctivo",T19="Automático"),"35%",IF(AND(S19="Correctivo",T19="Manual"),"25%",""))))))</f>
        <v>30%</v>
      </c>
      <c r="V19" s="123" t="s">
        <v>20</v>
      </c>
      <c r="W19" s="123" t="s">
        <v>22</v>
      </c>
      <c r="X19" s="123" t="s">
        <v>117</v>
      </c>
      <c r="Y19" s="125">
        <f>IFERROR(IF(AND(R18="Probabilidad",R19="Probabilidad"),(AA18-(+AA18*U19)),IF(R19="Probabilidad",(J18-(+J18*U19)),IF(R19="Impacto",AA18,""))),"")</f>
        <v>0.16799999999999998</v>
      </c>
      <c r="Z19" s="126" t="str">
        <f t="shared" si="6"/>
        <v>Muy Baja</v>
      </c>
      <c r="AA19" s="127">
        <f t="shared" ref="AA19" si="24">+Y19</f>
        <v>0.16799999999999998</v>
      </c>
      <c r="AB19" s="126" t="str">
        <f t="shared" si="14"/>
        <v>Menor</v>
      </c>
      <c r="AC19" s="127">
        <f t="shared" si="15"/>
        <v>0.30000000000000004</v>
      </c>
      <c r="AD19" s="128" t="str">
        <f t="shared" si="16"/>
        <v>Bajo</v>
      </c>
      <c r="AE19" s="129" t="s">
        <v>132</v>
      </c>
      <c r="AF19" s="130"/>
      <c r="AG19" s="131"/>
      <c r="AH19" s="132"/>
      <c r="AI19" s="132"/>
      <c r="AJ19" s="130"/>
      <c r="AK19" s="131"/>
      <c r="AL19" s="129" t="s">
        <v>132</v>
      </c>
      <c r="AM19" s="130"/>
      <c r="AN19" s="130"/>
      <c r="AO19" s="130"/>
      <c r="AP19" s="131"/>
      <c r="AQ19" s="131"/>
      <c r="AR19" s="132"/>
      <c r="AS19" s="132"/>
      <c r="AT19" s="130"/>
      <c r="AU19" s="131"/>
      <c r="AV19" s="8"/>
      <c r="AW19" s="8"/>
      <c r="AX19" s="8"/>
      <c r="AY19" s="8"/>
      <c r="AZ19" s="8"/>
      <c r="BA19" s="8"/>
      <c r="BB19" s="8"/>
      <c r="BC19" s="8"/>
      <c r="BD19" s="8"/>
      <c r="BE19" s="8"/>
      <c r="BF19" s="8"/>
      <c r="BG19" s="8"/>
      <c r="BH19" s="8"/>
      <c r="BI19" s="8"/>
      <c r="BJ19" s="8"/>
      <c r="BK19" s="8"/>
      <c r="BL19" s="8"/>
      <c r="BM19" s="8"/>
      <c r="BN19" s="8"/>
      <c r="BO19" s="8"/>
    </row>
    <row r="20" spans="1:67" ht="165.75" customHeight="1" x14ac:dyDescent="0.3">
      <c r="A20" s="223">
        <v>8</v>
      </c>
      <c r="B20" s="224" t="s">
        <v>298</v>
      </c>
      <c r="C20" s="226" t="s">
        <v>129</v>
      </c>
      <c r="D20" s="226" t="s">
        <v>275</v>
      </c>
      <c r="E20" s="226" t="s">
        <v>324</v>
      </c>
      <c r="F20" s="228" t="s">
        <v>276</v>
      </c>
      <c r="G20" s="220" t="s">
        <v>325</v>
      </c>
      <c r="H20" s="216">
        <v>100</v>
      </c>
      <c r="I20" s="218" t="str">
        <f>IF(H20&lt;=0,"",IF(H20&lt;=2,"Muy Baja",IF(H20&lt;=24,"Baja",IF(H20&lt;=500,"Media",IF(H20&lt;=5000,"Alta","Muy Alta")))))</f>
        <v>Media</v>
      </c>
      <c r="J20" s="214">
        <f>IF(I20="","",IF(I20="Muy Baja",0.2,IF(I20="Baja",0.4,IF(I20="Media",0.6,IF(I20="Alta",0.8,IF(I20="Muy Alta",1,))))))</f>
        <v>0.6</v>
      </c>
      <c r="K20" s="238" t="s">
        <v>311</v>
      </c>
      <c r="L20" s="214" t="str">
        <f>IF(NOT(ISERROR(MATCH(K20,'Tabla Impacto'!$B$221:$B$223,0))),'Tabla Impacto'!$F$223&amp;"Por favor no seleccionar los criterios de impacto(Afectación Económica o presupuestal y Pérdida Reputacional)",K20)</f>
        <v xml:space="preserve">     El riesgo afecta la imagen de la entidad internamente, de conocimiento general, nivel interno, de junta directiva y accionistas y/o de proveedores</v>
      </c>
      <c r="M20" s="235" t="s">
        <v>79</v>
      </c>
      <c r="N20" s="214">
        <f>IF(M20="","",IF(M20="Leve",0.2,IF(M20="Menor",0.4,IF(M20="Moderado",0.6,IF(M20="Mayor",0.8,IF(M20="Catastrófico",1,))))))</f>
        <v>0.6</v>
      </c>
      <c r="O20" s="233" t="str">
        <f>IF(OR(AND(I20="Muy Baja",M20="Leve"),AND(I20="Muy Baja",M20="Menor"),AND(I20="Baja",M20="Leve")),"Bajo",IF(OR(AND(I20="Muy baja",M20="Moderado"),AND(I20="Baja",M20="Menor"),AND(I20="Baja",M20="Moderado"),AND(I20="Media",M20="Leve"),AND(I20="Media",M20="Menor"),AND(I20="Media",M20="Moderado"),AND(I20="Alta",M20="Leve"),AND(I20="Alta",M20="Menor")),"Moderado",IF(OR(AND(I20="Muy Baja",M20="Mayor"),AND(I20="Baja",M20="Mayor"),AND(I20="Media",M20="Mayor"),AND(I20="Alta",M20="Moderado"),AND(I20="Alta",M20="Mayor"),AND(I20="Muy Alta",M20="Leve"),AND(I20="Muy Alta",M20="Menor"),AND(I20="Muy Alta",M20="Moderado"),AND(I20="Muy Alta",M20="Mayor")),"Alto",IF(OR(AND(I20="Muy Baja",M20="Catastrófico"),AND(I20="Baja",M20="Catastrófico"),AND(I20="Media",M20="Catastrófico"),AND(I20="Alta",M20="Catastrófico"),AND(I20="Muy Alta",M20="Catastrófico")),"Extremo",""))))</f>
        <v>Moderado</v>
      </c>
      <c r="P20" s="121">
        <v>1</v>
      </c>
      <c r="Q20" s="150" t="s">
        <v>236</v>
      </c>
      <c r="R20" s="122" t="str">
        <f t="shared" si="22"/>
        <v>Impacto</v>
      </c>
      <c r="S20" s="123" t="s">
        <v>16</v>
      </c>
      <c r="T20" s="123" t="s">
        <v>9</v>
      </c>
      <c r="U20" s="124" t="str">
        <f>IF(AND(S20="Preventivo",T20="Automático"),"50%",IF(AND(S20="Preventivo",T20="Manual"),"40%",IF(AND(S20="Detectivo",T20="Automático"),"40%",IF(AND(S20="Detectivo",T20="Manual"),"30%",IF(AND(S20="Correctivo",T20="Automático"),"35%",IF(AND(S20="Correctivo",T20="Manual"),"25%",""))))))</f>
        <v>25%</v>
      </c>
      <c r="V20" s="123" t="s">
        <v>19</v>
      </c>
      <c r="W20" s="123" t="s">
        <v>23</v>
      </c>
      <c r="X20" s="123" t="s">
        <v>117</v>
      </c>
      <c r="Y20" s="125">
        <f>IFERROR(IF(R20="Probabilidad",(J20-(+J20*U20)),IF(R20="Impacto",J20,"")),"")</f>
        <v>0.6</v>
      </c>
      <c r="Z20" s="126" t="str">
        <f>IFERROR(IF(Y20="","",IF(Y20&lt;=0.2,"Muy Baja",IF(Y20&lt;=0.4,"Baja",IF(Y20&lt;=0.6,"Media",IF(Y20&lt;=0.8,"Alta","Muy Alta"))))),"")</f>
        <v>Media</v>
      </c>
      <c r="AA20" s="127">
        <f>+Y20</f>
        <v>0.6</v>
      </c>
      <c r="AB20" s="126" t="str">
        <f t="shared" si="14"/>
        <v>Leve</v>
      </c>
      <c r="AC20" s="127">
        <f t="shared" si="15"/>
        <v>0</v>
      </c>
      <c r="AD20" s="128" t="str">
        <f t="shared" si="16"/>
        <v>Moderado</v>
      </c>
      <c r="AE20" s="129" t="s">
        <v>132</v>
      </c>
      <c r="AF20" s="220" t="s">
        <v>292</v>
      </c>
      <c r="AG20" s="131"/>
      <c r="AH20" s="132"/>
      <c r="AI20" s="132"/>
      <c r="AJ20" s="130"/>
      <c r="AK20" s="131"/>
      <c r="AL20" s="129" t="s">
        <v>132</v>
      </c>
      <c r="AM20" s="130"/>
      <c r="AN20" s="130"/>
      <c r="AO20" s="130"/>
      <c r="AP20" s="131"/>
      <c r="AQ20" s="131"/>
      <c r="AR20" s="132"/>
      <c r="AS20" s="132"/>
      <c r="AT20" s="130"/>
      <c r="AU20" s="131"/>
      <c r="AV20" s="8"/>
      <c r="AW20" s="8"/>
      <c r="AX20" s="8"/>
      <c r="AY20" s="8"/>
      <c r="AZ20" s="8"/>
      <c r="BA20" s="8"/>
      <c r="BB20" s="8"/>
      <c r="BC20" s="8"/>
      <c r="BD20" s="8"/>
      <c r="BE20" s="8"/>
      <c r="BF20" s="8"/>
      <c r="BG20" s="8"/>
      <c r="BH20" s="8"/>
      <c r="BI20" s="8"/>
      <c r="BJ20" s="8"/>
      <c r="BK20" s="8"/>
      <c r="BL20" s="8"/>
      <c r="BM20" s="8"/>
      <c r="BN20" s="8"/>
      <c r="BO20" s="8"/>
    </row>
    <row r="21" spans="1:67" ht="156" customHeight="1" x14ac:dyDescent="0.3">
      <c r="A21" s="222"/>
      <c r="B21" s="225"/>
      <c r="C21" s="227"/>
      <c r="D21" s="227"/>
      <c r="E21" s="227"/>
      <c r="F21" s="229"/>
      <c r="G21" s="230"/>
      <c r="H21" s="217"/>
      <c r="I21" s="219"/>
      <c r="J21" s="215"/>
      <c r="K21" s="237"/>
      <c r="L21" s="215">
        <f>IF(NOT(ISERROR(MATCH(K21,_xlfn.ANCHORARRAY(F24),0))),#REF!&amp;"Por favor no seleccionar los criterios de impacto",K21)</f>
        <v>0</v>
      </c>
      <c r="M21" s="286" t="s">
        <v>79</v>
      </c>
      <c r="N21" s="242"/>
      <c r="O21" s="258"/>
      <c r="P21" s="121">
        <v>2</v>
      </c>
      <c r="Q21" s="150" t="s">
        <v>237</v>
      </c>
      <c r="R21" s="122" t="str">
        <f t="shared" si="22"/>
        <v>Probabilidad</v>
      </c>
      <c r="S21" s="123" t="s">
        <v>14</v>
      </c>
      <c r="T21" s="123" t="s">
        <v>9</v>
      </c>
      <c r="U21" s="124" t="str">
        <f t="shared" ref="U21" si="25">IF(AND(S21="Preventivo",T21="Automático"),"50%",IF(AND(S21="Preventivo",T21="Manual"),"40%",IF(AND(S21="Detectivo",T21="Automático"),"40%",IF(AND(S21="Detectivo",T21="Manual"),"30%",IF(AND(S21="Correctivo",T21="Automático"),"35%",IF(AND(S21="Correctivo",T21="Manual"),"25%",""))))))</f>
        <v>40%</v>
      </c>
      <c r="V21" s="123" t="s">
        <v>19</v>
      </c>
      <c r="W21" s="123" t="s">
        <v>23</v>
      </c>
      <c r="X21" s="123" t="s">
        <v>117</v>
      </c>
      <c r="Y21" s="125">
        <f>IFERROR(IF(AND(R20="Probabilidad",R21="Probabilidad"),(AA20-(+AA20*U21)),IF(R21="Probabilidad",(J20-(+J20*U21)),IF(R21="Impacto",AA20,""))),"")</f>
        <v>0.36</v>
      </c>
      <c r="Z21" s="126" t="str">
        <f t="shared" si="6"/>
        <v>Baja</v>
      </c>
      <c r="AA21" s="127">
        <f t="shared" ref="AA21" si="26">+Y21</f>
        <v>0.36</v>
      </c>
      <c r="AB21" s="126" t="str">
        <f t="shared" si="14"/>
        <v>Leve</v>
      </c>
      <c r="AC21" s="127">
        <f>IFERROR(IF(AND(R20="Impacto",R21="Impacto"),(AC20-(+AC20*U21)),IF(R21="Impacto",(N20-(+N20*U21)),IF(R21="Probabilidad",AC20,""))),"")</f>
        <v>0</v>
      </c>
      <c r="AD21" s="128" t="str">
        <f t="shared" si="16"/>
        <v>Bajo</v>
      </c>
      <c r="AE21" s="129" t="s">
        <v>133</v>
      </c>
      <c r="AF21" s="221"/>
      <c r="AG21" s="131"/>
      <c r="AH21" s="132"/>
      <c r="AI21" s="132"/>
      <c r="AJ21" s="130"/>
      <c r="AK21" s="131"/>
      <c r="AL21" s="129" t="s">
        <v>133</v>
      </c>
      <c r="AM21" s="130"/>
      <c r="AN21" s="130"/>
      <c r="AO21" s="130"/>
      <c r="AP21" s="131"/>
      <c r="AQ21" s="131"/>
      <c r="AR21" s="132"/>
      <c r="AS21" s="132"/>
      <c r="AT21" s="130"/>
      <c r="AU21" s="131"/>
      <c r="AV21" s="8"/>
      <c r="AW21" s="8"/>
      <c r="AX21" s="8"/>
      <c r="AY21" s="8"/>
      <c r="AZ21" s="8"/>
      <c r="BA21" s="8"/>
      <c r="BB21" s="8"/>
      <c r="BC21" s="8"/>
      <c r="BD21" s="8"/>
      <c r="BE21" s="8"/>
      <c r="BF21" s="8"/>
      <c r="BG21" s="8"/>
      <c r="BH21" s="8"/>
      <c r="BI21" s="8"/>
      <c r="BJ21" s="8"/>
      <c r="BK21" s="8"/>
      <c r="BL21" s="8"/>
      <c r="BM21" s="8"/>
      <c r="BN21" s="8"/>
      <c r="BO21" s="8"/>
    </row>
    <row r="22" spans="1:67" ht="50.25" customHeight="1" x14ac:dyDescent="0.3">
      <c r="A22" s="223">
        <v>9</v>
      </c>
      <c r="B22" s="224" t="s">
        <v>298</v>
      </c>
      <c r="C22" s="287" t="s">
        <v>128</v>
      </c>
      <c r="D22" s="226" t="s">
        <v>239</v>
      </c>
      <c r="E22" s="226" t="s">
        <v>326</v>
      </c>
      <c r="F22" s="228" t="s">
        <v>238</v>
      </c>
      <c r="G22" s="220" t="s">
        <v>308</v>
      </c>
      <c r="H22" s="216">
        <v>25</v>
      </c>
      <c r="I22" s="218" t="str">
        <f>IF(H22&lt;=0,"",IF(H22&lt;=2,"Muy Baja",IF(H22&lt;=24,"Baja",IF(H22&lt;=500,"Media",IF(H22&lt;=5000,"Alta","Muy Alta")))))</f>
        <v>Media</v>
      </c>
      <c r="J22" s="214">
        <f>IF(I22="","",IF(I22="Muy Baja",0.2,IF(I22="Baja",0.4,IF(I22="Media",0.6,IF(I22="Alta",0.8,IF(I22="Muy Alta",1,))))))</f>
        <v>0.6</v>
      </c>
      <c r="K22" s="238" t="s">
        <v>151</v>
      </c>
      <c r="L22" s="214" t="str">
        <f>IF(NOT(ISERROR(MATCH(K22,'Tabla Impacto'!$B$221:$B$223,0))),'Tabla Impacto'!$F$223&amp;"Por favor no seleccionar los criterios de impacto(Afectación Económica o presupuestal y Pérdida Reputacional)",K22)</f>
        <v xml:space="preserve">     El riesgo afecta la imagen de la entidad con algunos usuarios de relevancia frente al logro de los objetivos</v>
      </c>
      <c r="M22" s="235" t="str">
        <f>IF(OR(L22='Tabla Impacto'!$C$11,L22='Tabla Impacto'!$D$11),"Leve",IF(OR(L22='Tabla Impacto'!$C$12,L22='Tabla Impacto'!$D$12),"Menor",IF(OR(L22='Tabla Impacto'!$C$13,L22='Tabla Impacto'!$D$13),"Moderado",IF(OR(L22='Tabla Impacto'!$C$14,L22='Tabla Impacto'!$D$14),"Mayor",IF(OR(L22='Tabla Impacto'!$C$15,L22='Tabla Impacto'!$D$15),"Catastrófico","")))))</f>
        <v>Moderado</v>
      </c>
      <c r="N22" s="214">
        <f>IF(M22="","",IF(M22="Leve",0.2,IF(M22="Menor",0.4,IF(M22="Moderado",0.6,IF(M22="Mayor",0.8,IF(M22="Catastrófico",1,))))))</f>
        <v>0.6</v>
      </c>
      <c r="O22" s="233"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121">
        <v>1</v>
      </c>
      <c r="Q22" s="150" t="s">
        <v>241</v>
      </c>
      <c r="R22" s="122" t="str">
        <f t="shared" si="22"/>
        <v>Probabilidad</v>
      </c>
      <c r="S22" s="123" t="s">
        <v>14</v>
      </c>
      <c r="T22" s="123" t="s">
        <v>9</v>
      </c>
      <c r="U22" s="124" t="str">
        <f>IF(AND(S22="Preventivo",T22="Automático"),"50%",IF(AND(S22="Preventivo",T22="Manual"),"40%",IF(AND(S22="Detectivo",T22="Automático"),"40%",IF(AND(S22="Detectivo",T22="Manual"),"30%",IF(AND(S22="Correctivo",T22="Automático"),"35%",IF(AND(S22="Correctivo",T22="Manual"),"25%",""))))))</f>
        <v>40%</v>
      </c>
      <c r="V22" s="123" t="s">
        <v>19</v>
      </c>
      <c r="W22" s="123" t="s">
        <v>22</v>
      </c>
      <c r="X22" s="123" t="s">
        <v>117</v>
      </c>
      <c r="Y22" s="125">
        <f>IFERROR(IF(R22="Probabilidad",(J22-(+J22*U22)),IF(R22="Impacto",J22,"")),"")</f>
        <v>0.36</v>
      </c>
      <c r="Z22" s="126" t="str">
        <f>IFERROR(IF(Y22="","",IF(Y22&lt;=0.2,"Muy Baja",IF(Y22&lt;=0.4,"Baja",IF(Y22&lt;=0.6,"Media",IF(Y22&lt;=0.8,"Alta","Muy Alta"))))),"")</f>
        <v>Baja</v>
      </c>
      <c r="AA22" s="127">
        <f>+Y22</f>
        <v>0.36</v>
      </c>
      <c r="AB22" s="126" t="str">
        <f t="shared" si="14"/>
        <v>Leve</v>
      </c>
      <c r="AC22" s="127">
        <f>IFERROR(IF(AND(R21="Impacto",R22="Impacto"),(AC21-(+AC21*U22)),IF(R22="Impacto",(N21-(+N21*U22)),IF(R22="Probabilidad",AC21,""))),"")</f>
        <v>0</v>
      </c>
      <c r="AD22" s="128" t="str">
        <f t="shared" si="16"/>
        <v>Bajo</v>
      </c>
      <c r="AE22" s="129" t="s">
        <v>132</v>
      </c>
      <c r="AF22" s="220" t="s">
        <v>293</v>
      </c>
      <c r="AG22" s="131"/>
      <c r="AH22" s="132"/>
      <c r="AI22" s="132"/>
      <c r="AJ22" s="130"/>
      <c r="AK22" s="131"/>
      <c r="AL22" s="129" t="s">
        <v>132</v>
      </c>
      <c r="AM22" s="130"/>
      <c r="AN22" s="130"/>
      <c r="AO22" s="130"/>
      <c r="AP22" s="131"/>
      <c r="AQ22" s="131"/>
      <c r="AR22" s="132"/>
      <c r="AS22" s="132"/>
      <c r="AT22" s="130"/>
      <c r="AU22" s="131"/>
      <c r="AV22" s="8"/>
      <c r="AW22" s="8"/>
      <c r="AX22" s="8"/>
      <c r="AY22" s="8"/>
      <c r="AZ22" s="8"/>
      <c r="BA22" s="8"/>
      <c r="BB22" s="8"/>
      <c r="BC22" s="8"/>
      <c r="BD22" s="8"/>
      <c r="BE22" s="8"/>
      <c r="BF22" s="8"/>
      <c r="BG22" s="8"/>
      <c r="BH22" s="8"/>
      <c r="BI22" s="8"/>
      <c r="BJ22" s="8"/>
      <c r="BK22" s="8"/>
      <c r="BL22" s="8"/>
      <c r="BM22" s="8"/>
      <c r="BN22" s="8"/>
      <c r="BO22" s="8"/>
    </row>
    <row r="23" spans="1:67" ht="75" x14ac:dyDescent="0.3">
      <c r="A23" s="222"/>
      <c r="B23" s="225"/>
      <c r="C23" s="288"/>
      <c r="D23" s="227"/>
      <c r="E23" s="227"/>
      <c r="F23" s="229"/>
      <c r="G23" s="230"/>
      <c r="H23" s="217"/>
      <c r="I23" s="219"/>
      <c r="J23" s="215"/>
      <c r="K23" s="237"/>
      <c r="L23" s="215">
        <f>IF(NOT(ISERROR(MATCH(K23,_xlfn.ANCHORARRAY(F43),0))),J45&amp;"Por favor no seleccionar los criterios de impacto",K23)</f>
        <v>0</v>
      </c>
      <c r="M23" s="236"/>
      <c r="N23" s="215"/>
      <c r="O23" s="234"/>
      <c r="P23" s="121">
        <v>2</v>
      </c>
      <c r="Q23" s="150" t="s">
        <v>242</v>
      </c>
      <c r="R23" s="122" t="str">
        <f t="shared" si="22"/>
        <v>Probabilidad</v>
      </c>
      <c r="S23" s="123" t="s">
        <v>15</v>
      </c>
      <c r="T23" s="123" t="s">
        <v>9</v>
      </c>
      <c r="U23" s="124" t="str">
        <f t="shared" ref="U23" si="27">IF(AND(S23="Preventivo",T23="Automático"),"50%",IF(AND(S23="Preventivo",T23="Manual"),"40%",IF(AND(S23="Detectivo",T23="Automático"),"40%",IF(AND(S23="Detectivo",T23="Manual"),"30%",IF(AND(S23="Correctivo",T23="Automático"),"35%",IF(AND(S23="Correctivo",T23="Manual"),"25%",""))))))</f>
        <v>30%</v>
      </c>
      <c r="V23" s="123" t="s">
        <v>19</v>
      </c>
      <c r="W23" s="123" t="s">
        <v>22</v>
      </c>
      <c r="X23" s="123" t="s">
        <v>117</v>
      </c>
      <c r="Y23" s="125">
        <f>IFERROR(IF(AND(R22="Probabilidad",R23="Probabilidad"),(AA22-(+AA22*U23)),IF(R23="Probabilidad",(J22-(+J22*U23)),IF(R23="Impacto",AA22,""))),"")</f>
        <v>0.252</v>
      </c>
      <c r="Z23" s="126" t="str">
        <f t="shared" si="6"/>
        <v>Baja</v>
      </c>
      <c r="AA23" s="127">
        <f t="shared" ref="AA23" si="28">+Y23</f>
        <v>0.252</v>
      </c>
      <c r="AB23" s="126" t="str">
        <f t="shared" si="14"/>
        <v>Leve</v>
      </c>
      <c r="AC23" s="127">
        <f>IFERROR(IF(AND(R22="Impacto",R23="Impacto"),(AC22-(+AC22*U23)),IF(R23="Impacto",(N22-(+N22*U23)),IF(R23="Probabilidad",AC22,""))),"")</f>
        <v>0</v>
      </c>
      <c r="AD23" s="128" t="str">
        <f t="shared" si="16"/>
        <v>Bajo</v>
      </c>
      <c r="AE23" s="129" t="s">
        <v>132</v>
      </c>
      <c r="AF23" s="221"/>
      <c r="AG23" s="131"/>
      <c r="AH23" s="132"/>
      <c r="AI23" s="132"/>
      <c r="AJ23" s="130"/>
      <c r="AK23" s="131"/>
      <c r="AL23" s="129" t="s">
        <v>132</v>
      </c>
      <c r="AM23" s="130"/>
      <c r="AN23" s="130"/>
      <c r="AO23" s="130"/>
      <c r="AP23" s="131"/>
      <c r="AQ23" s="131"/>
      <c r="AR23" s="132"/>
      <c r="AS23" s="132"/>
      <c r="AT23" s="130"/>
      <c r="AU23" s="131"/>
      <c r="AV23" s="8"/>
      <c r="AW23" s="8"/>
      <c r="AX23" s="8"/>
      <c r="AY23" s="8"/>
      <c r="AZ23" s="8"/>
      <c r="BA23" s="8"/>
      <c r="BB23" s="8"/>
      <c r="BC23" s="8"/>
      <c r="BD23" s="8"/>
      <c r="BE23" s="8"/>
      <c r="BF23" s="8"/>
      <c r="BG23" s="8"/>
      <c r="BH23" s="8"/>
      <c r="BI23" s="8"/>
      <c r="BJ23" s="8"/>
      <c r="BK23" s="8"/>
      <c r="BL23" s="8"/>
      <c r="BM23" s="8"/>
      <c r="BN23" s="8"/>
      <c r="BO23" s="8"/>
    </row>
    <row r="24" spans="1:67" ht="90" customHeight="1" x14ac:dyDescent="0.3">
      <c r="A24" s="223">
        <v>10</v>
      </c>
      <c r="B24" s="245" t="s">
        <v>352</v>
      </c>
      <c r="C24" s="263" t="s">
        <v>129</v>
      </c>
      <c r="D24" s="265" t="s">
        <v>243</v>
      </c>
      <c r="E24" s="265" t="s">
        <v>244</v>
      </c>
      <c r="F24" s="267" t="s">
        <v>353</v>
      </c>
      <c r="G24" s="269" t="s">
        <v>308</v>
      </c>
      <c r="H24" s="271">
        <v>24</v>
      </c>
      <c r="I24" s="273" t="str">
        <f>IF(H24&lt;=0,"",IF(H24&lt;=2,"Muy Baja",IF(H24&lt;=24,"Baja",IF(H24&lt;=500,"Media",IF(H24&lt;=5000,"Alta","Muy Alta")))))</f>
        <v>Baja</v>
      </c>
      <c r="J24" s="214">
        <f>IF(I24="","",IF(I24="Muy Baja",0.2,IF(I24="Baja",0.4,IF(I24="Media",0.6,IF(I24="Alta",0.8,IF(I24="Muy Alta",1,))))))</f>
        <v>0.4</v>
      </c>
      <c r="K24" s="238" t="s">
        <v>149</v>
      </c>
      <c r="L24" s="214" t="str">
        <f>IF(NOT(ISERROR(MATCH(K24,'Tabla Impacto'!$B$221:$B$223,0))),'Tabla Impacto'!$F$223&amp;"Por favor no seleccionar los criterios de impacto(Afectación Económica o presupuestal y Pérdida Reputacional)",K24)</f>
        <v xml:space="preserve">     El riesgo afecta la imagen de alguna área de la organización</v>
      </c>
      <c r="M24" s="235" t="str">
        <f>IF(OR(L24='Tabla Impacto'!$C$11,L24='Tabla Impacto'!$D$11),"Leve",IF(OR(L24='Tabla Impacto'!$C$12,L24='Tabla Impacto'!$D$12),"Menor",IF(OR(L24='Tabla Impacto'!$C$13,L24='Tabla Impacto'!$D$13),"Moderado",IF(OR(L24='Tabla Impacto'!$C$14,L24='Tabla Impacto'!$D$14),"Mayor",IF(OR(L24='Tabla Impacto'!$C$15,L24='Tabla Impacto'!$D$15),"Catastrófico","")))))</f>
        <v>Leve</v>
      </c>
      <c r="N24" s="214">
        <f>IF(M24="","",IF(M24="Leve",0.2,IF(M24="Menor",0.4,IF(M24="Moderado",0.6,IF(M24="Mayor",0.8,IF(M24="Catastrófico",1,))))))</f>
        <v>0.2</v>
      </c>
      <c r="O24" s="233" t="str">
        <f>IF(OR(AND(I24="Muy Baja",M24="Leve"),AND(I24="Muy Baja",M24="Menor"),AND(I24="Baja",M24="Leve")),"Bajo",IF(OR(AND(I24="Muy baja",M24="Moderado"),AND(I24="Baja",M24="Menor"),AND(I24="Baja",M24="Moderado"),AND(I24="Media",M24="Leve"),AND(I24="Media",M24="Menor"),AND(I24="Media",M24="Moderado"),AND(I24="Alta",M24="Leve"),AND(I24="Alta",M24="Menor")),"Moderado",IF(OR(AND(I24="Muy Baja",M24="Mayor"),AND(I24="Baja",M24="Mayor"),AND(I24="Media",M24="Mayor"),AND(I24="Alta",M24="Moderado"),AND(I24="Alta",M24="Mayor"),AND(I24="Muy Alta",M24="Leve"),AND(I24="Muy Alta",M24="Menor"),AND(I24="Muy Alta",M24="Moderado"),AND(I24="Muy Alta",M24="Mayor")),"Alto",IF(OR(AND(I24="Muy Baja",M24="Catastrófico"),AND(I24="Baja",M24="Catastrófico"),AND(I24="Media",M24="Catastrófico"),AND(I24="Alta",M24="Catastrófico"),AND(I24="Muy Alta",M24="Catastrófico")),"Extremo",""))))</f>
        <v>Bajo</v>
      </c>
      <c r="P24" s="121">
        <v>1</v>
      </c>
      <c r="Q24" s="150" t="s">
        <v>245</v>
      </c>
      <c r="R24" s="122" t="str">
        <f>IF(OR(S24="Preventivo",S24="Detectivo"),"Probabilidad",IF(S24="Correctivo","Impacto",""))</f>
        <v>Probabilidad</v>
      </c>
      <c r="S24" s="123" t="s">
        <v>14</v>
      </c>
      <c r="T24" s="123" t="s">
        <v>9</v>
      </c>
      <c r="U24" s="124" t="str">
        <f>IF(AND(S24="Preventivo",T24="Automático"),"50%",IF(AND(S24="Preventivo",T24="Manual"),"40%",IF(AND(S24="Detectivo",T24="Automático"),"40%",IF(AND(S24="Detectivo",T24="Manual"),"30%",IF(AND(S24="Correctivo",T24="Automático"),"35%",IF(AND(S24="Correctivo",T24="Manual"),"25%",""))))))</f>
        <v>40%</v>
      </c>
      <c r="V24" s="123" t="s">
        <v>19</v>
      </c>
      <c r="W24" s="123" t="s">
        <v>22</v>
      </c>
      <c r="X24" s="123" t="s">
        <v>117</v>
      </c>
      <c r="Y24" s="125">
        <f>IFERROR(IF(R24="Probabilidad",(J24-(+J24*U24)),IF(R24="Impacto",J24,"")),"")</f>
        <v>0.24</v>
      </c>
      <c r="Z24" s="126" t="str">
        <f>IFERROR(IF(Y24="","",IF(Y24&lt;=0.2,"Muy Baja",IF(Y24&lt;=0.4,"Baja",IF(Y24&lt;=0.6,"Media",IF(Y24&lt;=0.8,"Alta","Muy Alta"))))),"")</f>
        <v>Baja</v>
      </c>
      <c r="AA24" s="127">
        <f>+Y24</f>
        <v>0.24</v>
      </c>
      <c r="AB24" s="126" t="str">
        <f t="shared" si="14"/>
        <v>Leve</v>
      </c>
      <c r="AC24" s="127">
        <f>IFERROR(IF(AND(R23="Impacto",R24="Impacto"),(AC23-(+AC23*U24)),IF(R24="Impacto",(N23-(+N23*U24)),IF(R24="Probabilidad",AC23,""))),"")</f>
        <v>0</v>
      </c>
      <c r="AD24" s="128" t="str">
        <f t="shared" si="16"/>
        <v>Bajo</v>
      </c>
      <c r="AE24" s="129" t="s">
        <v>132</v>
      </c>
      <c r="AF24" s="130"/>
      <c r="AG24" s="131"/>
      <c r="AH24" s="132"/>
      <c r="AI24" s="132"/>
      <c r="AJ24" s="130"/>
      <c r="AK24" s="131"/>
      <c r="AL24" s="129" t="s">
        <v>132</v>
      </c>
      <c r="AM24" s="130"/>
      <c r="AN24" s="130"/>
      <c r="AO24" s="130"/>
      <c r="AP24" s="131"/>
      <c r="AQ24" s="131"/>
      <c r="AR24" s="132"/>
      <c r="AS24" s="132"/>
      <c r="AT24" s="130"/>
      <c r="AU24" s="131"/>
      <c r="AV24" s="8"/>
      <c r="AW24" s="8"/>
      <c r="AX24" s="8"/>
      <c r="AY24" s="8"/>
      <c r="AZ24" s="8"/>
      <c r="BA24" s="8"/>
      <c r="BB24" s="8"/>
      <c r="BC24" s="8"/>
      <c r="BD24" s="8"/>
      <c r="BE24" s="8"/>
      <c r="BF24" s="8"/>
      <c r="BG24" s="8"/>
      <c r="BH24" s="8"/>
      <c r="BI24" s="8"/>
      <c r="BJ24" s="8"/>
      <c r="BK24" s="8"/>
      <c r="BL24" s="8"/>
      <c r="BM24" s="8"/>
      <c r="BN24" s="8"/>
      <c r="BO24" s="8"/>
    </row>
    <row r="25" spans="1:67" ht="129.75" customHeight="1" x14ac:dyDescent="0.3">
      <c r="A25" s="222"/>
      <c r="B25" s="246"/>
      <c r="C25" s="264"/>
      <c r="D25" s="266"/>
      <c r="E25" s="266"/>
      <c r="F25" s="268"/>
      <c r="G25" s="270"/>
      <c r="H25" s="272"/>
      <c r="I25" s="274"/>
      <c r="J25" s="215"/>
      <c r="K25" s="237"/>
      <c r="L25" s="215">
        <f>IF(NOT(ISERROR(MATCH(K25,_xlfn.ANCHORARRAY(F49),0))),J51&amp;"Por favor no seleccionar los criterios de impacto",K25)</f>
        <v>0</v>
      </c>
      <c r="M25" s="236"/>
      <c r="N25" s="215"/>
      <c r="O25" s="234"/>
      <c r="P25" s="121">
        <v>2</v>
      </c>
      <c r="Q25" s="150" t="s">
        <v>246</v>
      </c>
      <c r="R25" s="122" t="str">
        <f>IF(OR(S25="Preventivo",S25="Detectivo"),"Probabilidad",IF(S25="Correctivo","Impacto",""))</f>
        <v>Probabilidad</v>
      </c>
      <c r="S25" s="123" t="s">
        <v>14</v>
      </c>
      <c r="T25" s="123" t="s">
        <v>9</v>
      </c>
      <c r="U25" s="124" t="str">
        <f t="shared" ref="U25:U26" si="29">IF(AND(S25="Preventivo",T25="Automático"),"50%",IF(AND(S25="Preventivo",T25="Manual"),"40%",IF(AND(S25="Detectivo",T25="Automático"),"40%",IF(AND(S25="Detectivo",T25="Manual"),"30%",IF(AND(S25="Correctivo",T25="Automático"),"35%",IF(AND(S25="Correctivo",T25="Manual"),"25%",""))))))</f>
        <v>40%</v>
      </c>
      <c r="V25" s="123" t="s">
        <v>19</v>
      </c>
      <c r="W25" s="123" t="s">
        <v>22</v>
      </c>
      <c r="X25" s="123" t="s">
        <v>117</v>
      </c>
      <c r="Y25" s="125">
        <f>IFERROR(IF(AND(R24="Probabilidad",R25="Probabilidad"),(AA24-(+AA24*U25)),IF(R25="Probabilidad",(J24-(+J24*U25)),IF(R25="Impacto",AA24,""))),"")</f>
        <v>0.14399999999999999</v>
      </c>
      <c r="Z25" s="126" t="str">
        <f t="shared" si="6"/>
        <v>Muy Baja</v>
      </c>
      <c r="AA25" s="127">
        <f t="shared" ref="AA25:AA26" si="30">+Y25</f>
        <v>0.14399999999999999</v>
      </c>
      <c r="AB25" s="126" t="str">
        <f t="shared" si="14"/>
        <v>Leve</v>
      </c>
      <c r="AC25" s="127">
        <f t="shared" si="15"/>
        <v>0</v>
      </c>
      <c r="AD25" s="128" t="str">
        <f t="shared" si="16"/>
        <v>Bajo</v>
      </c>
      <c r="AE25" s="129" t="s">
        <v>132</v>
      </c>
      <c r="AF25" s="130"/>
      <c r="AG25" s="131"/>
      <c r="AH25" s="132"/>
      <c r="AI25" s="132"/>
      <c r="AJ25" s="130"/>
      <c r="AK25" s="131"/>
      <c r="AL25" s="129" t="s">
        <v>132</v>
      </c>
      <c r="AM25" s="130"/>
      <c r="AN25" s="130"/>
      <c r="AO25" s="130"/>
      <c r="AP25" s="131"/>
      <c r="AQ25" s="131"/>
      <c r="AR25" s="132"/>
      <c r="AS25" s="132"/>
      <c r="AT25" s="130"/>
      <c r="AU25" s="131"/>
    </row>
    <row r="26" spans="1:67" ht="143.25" customHeight="1" x14ac:dyDescent="0.3">
      <c r="A26" s="222">
        <v>11</v>
      </c>
      <c r="B26" s="243" t="s">
        <v>247</v>
      </c>
      <c r="C26" s="227" t="s">
        <v>128</v>
      </c>
      <c r="D26" s="227" t="s">
        <v>248</v>
      </c>
      <c r="E26" s="227" t="s">
        <v>250</v>
      </c>
      <c r="F26" s="229" t="s">
        <v>328</v>
      </c>
      <c r="G26" s="230" t="s">
        <v>308</v>
      </c>
      <c r="H26" s="217">
        <v>400</v>
      </c>
      <c r="I26" s="218" t="str">
        <f t="shared" ref="I26:I42" si="31">IF(H26&lt;=0,"",IF(H26&lt;=2,"Muy Baja",IF(H26&lt;=24,"Baja",IF(H26&lt;=500,"Media",IF(H26&lt;=5000,"Alta","Muy Alta")))))</f>
        <v>Media</v>
      </c>
      <c r="J26" s="214">
        <f t="shared" ref="J26:J35" si="32">IF(I26="","",IF(I26="Muy Baja",0.2,IF(I26="Baja",0.4,IF(I26="Media",0.6,IF(I26="Alta",0.8,IF(I26="Muy Alta",1,))))))</f>
        <v>0.6</v>
      </c>
      <c r="K26" s="238" t="s">
        <v>152</v>
      </c>
      <c r="L26" s="214" t="str">
        <f>IF(NOT(ISERROR(MATCH(K26,'Tabla Impacto'!$B$221:$B$223,0))),'Tabla Impacto'!$F$223&amp;"Por favor no seleccionar los criterios de impacto(Afectación Económica o presupuestal y Pérdida Reputacional)",K26)</f>
        <v xml:space="preserve">     El riesgo afecta la imagen de de la entidad con efecto publicitario sostenido a nivel de sector administrativo, nivel departamental o municipal</v>
      </c>
      <c r="M26" s="235" t="str">
        <f>IF(OR(L26='Tabla Impacto'!$C$11,L26='Tabla Impacto'!$D$11),"Leve",IF(OR(L26='Tabla Impacto'!$C$12,L26='Tabla Impacto'!$D$12),"Menor",IF(OR(L26='Tabla Impacto'!$C$13,L26='Tabla Impacto'!$D$13),"Moderado",IF(OR(L26='Tabla Impacto'!$C$14,L26='Tabla Impacto'!$D$14),"Mayor",IF(OR(L26='Tabla Impacto'!$C$15,L26='Tabla Impacto'!$D$15),"Catastrófico","")))))</f>
        <v>Mayor</v>
      </c>
      <c r="N26" s="214">
        <f t="shared" ref="N26" si="33">IF(M26="","",IF(M26="Leve",0.2,IF(M26="Menor",0.4,IF(M26="Moderado",0.6,IF(M26="Mayor",0.8,IF(M26="Catastrófico",1,))))))</f>
        <v>0.8</v>
      </c>
      <c r="O26" s="233" t="str">
        <f t="shared" ref="O26" si="34">IF(OR(AND(I26="Muy Baja",M26="Leve"),AND(I26="Muy Baja",M26="Menor"),AND(I26="Baja",M26="Leve")),"Bajo",IF(OR(AND(I26="Muy baja",M26="Moderado"),AND(I26="Baja",M26="Menor"),AND(I26="Baja",M26="Moderado"),AND(I26="Media",M26="Leve"),AND(I26="Media",M26="Menor"),AND(I26="Media",M26="Moderado"),AND(I26="Alta",M26="Leve"),AND(I26="Alta",M26="Menor")),"Moderado",IF(OR(AND(I26="Muy Baja",M26="Mayor"),AND(I26="Baja",M26="Mayor"),AND(I26="Media",M26="Mayor"),AND(I26="Alta",M26="Moderado"),AND(I26="Alta",M26="Mayor"),AND(I26="Muy Alta",M26="Leve"),AND(I26="Muy Alta",M26="Menor"),AND(I26="Muy Alta",M26="Moderado"),AND(I26="Muy Alta",M26="Mayor")),"Alto",IF(OR(AND(I26="Muy Baja",M26="Catastrófico"),AND(I26="Baja",M26="Catastrófico"),AND(I26="Media",M26="Catastrófico"),AND(I26="Alta",M26="Catastrófico"),AND(I26="Muy Alta",M26="Catastrófico")),"Extremo",""))))</f>
        <v>Alto</v>
      </c>
      <c r="P26" s="121">
        <v>1</v>
      </c>
      <c r="Q26" s="150" t="s">
        <v>294</v>
      </c>
      <c r="R26" s="122" t="str">
        <f t="shared" ref="R26:R42" si="35">IF(OR(S26="Preventivo",S26="Detectivo"),"Probabilidad",IF(S26="Correctivo","Impacto",""))</f>
        <v>Probabilidad</v>
      </c>
      <c r="S26" s="123" t="s">
        <v>14</v>
      </c>
      <c r="T26" s="123" t="s">
        <v>9</v>
      </c>
      <c r="U26" s="124" t="str">
        <f t="shared" si="29"/>
        <v>40%</v>
      </c>
      <c r="V26" s="123" t="s">
        <v>19</v>
      </c>
      <c r="W26" s="123" t="s">
        <v>22</v>
      </c>
      <c r="X26" s="123" t="s">
        <v>118</v>
      </c>
      <c r="Y26" s="125">
        <f t="shared" ref="Y26" si="36">IFERROR(IF(R26="Probabilidad",(J26-(+J26*U26)),IF(R26="Impacto",J26,"")),"")</f>
        <v>0.36</v>
      </c>
      <c r="Z26" s="126" t="str">
        <f t="shared" si="6"/>
        <v>Baja</v>
      </c>
      <c r="AA26" s="127">
        <f t="shared" si="30"/>
        <v>0.36</v>
      </c>
      <c r="AB26" s="126" t="str">
        <f t="shared" si="14"/>
        <v>Leve</v>
      </c>
      <c r="AC26" s="127">
        <f t="shared" si="15"/>
        <v>0</v>
      </c>
      <c r="AD26" s="128" t="str">
        <f t="shared" si="16"/>
        <v>Bajo</v>
      </c>
      <c r="AE26" s="129" t="s">
        <v>132</v>
      </c>
      <c r="AF26" s="220" t="s">
        <v>295</v>
      </c>
      <c r="AG26" s="131"/>
      <c r="AH26" s="132"/>
      <c r="AI26" s="132"/>
      <c r="AJ26" s="130"/>
      <c r="AK26" s="131"/>
      <c r="AL26" s="129" t="s">
        <v>132</v>
      </c>
      <c r="AM26" s="130"/>
      <c r="AN26" s="130"/>
      <c r="AO26" s="130"/>
      <c r="AP26" s="131"/>
      <c r="AQ26" s="131"/>
      <c r="AR26" s="132"/>
      <c r="AS26" s="132"/>
      <c r="AT26" s="130"/>
      <c r="AU26" s="131"/>
    </row>
    <row r="27" spans="1:67" ht="122.25" customHeight="1" x14ac:dyDescent="0.3">
      <c r="A27" s="222"/>
      <c r="B27" s="243"/>
      <c r="C27" s="227"/>
      <c r="D27" s="227"/>
      <c r="E27" s="227"/>
      <c r="F27" s="229"/>
      <c r="G27" s="230"/>
      <c r="H27" s="217"/>
      <c r="I27" s="241"/>
      <c r="J27" s="242"/>
      <c r="K27" s="244"/>
      <c r="L27" s="215">
        <f>IF(NOT(ISERROR(MATCH(K27,_xlfn.ANCHORARRAY(F51),0))),J53&amp;"Por favor no seleccionar los criterios de impacto",K27)</f>
        <v>0</v>
      </c>
      <c r="M27" s="236"/>
      <c r="N27" s="215"/>
      <c r="O27" s="234"/>
      <c r="P27" s="121">
        <v>2</v>
      </c>
      <c r="Q27" s="150" t="s">
        <v>249</v>
      </c>
      <c r="R27" s="122" t="str">
        <f t="shared" si="35"/>
        <v>Probabilidad</v>
      </c>
      <c r="S27" s="123" t="s">
        <v>14</v>
      </c>
      <c r="T27" s="123" t="s">
        <v>9</v>
      </c>
      <c r="U27" s="124" t="str">
        <f t="shared" ref="U27:U31" si="37">IF(AND(S27="Preventivo",T27="Automático"),"50%",IF(AND(S27="Preventivo",T27="Manual"),"40%",IF(AND(S27="Detectivo",T27="Automático"),"40%",IF(AND(S27="Detectivo",T27="Manual"),"30%",IF(AND(S27="Correctivo",T27="Automático"),"35%",IF(AND(S27="Correctivo",T27="Manual"),"25%",""))))))</f>
        <v>40%</v>
      </c>
      <c r="V27" s="123" t="s">
        <v>19</v>
      </c>
      <c r="W27" s="123" t="s">
        <v>22</v>
      </c>
      <c r="X27" s="123" t="s">
        <v>118</v>
      </c>
      <c r="Y27" s="125">
        <f t="shared" ref="Y27" si="38">IFERROR(IF(AND(R26="Probabilidad",R27="Probabilidad"),(AA26-(+AA26*U27)),IF(R27="Probabilidad",(J26-(+J26*U27)),IF(R27="Impacto",AA26,""))),"")</f>
        <v>0.216</v>
      </c>
      <c r="Z27" s="126" t="str">
        <f t="shared" ref="Z27:Z31" si="39">IFERROR(IF(Y27="","",IF(Y27&lt;=0.2,"Muy Baja",IF(Y27&lt;=0.4,"Baja",IF(Y27&lt;=0.6,"Media",IF(Y27&lt;=0.8,"Alta","Muy Alta"))))),"")</f>
        <v>Baja</v>
      </c>
      <c r="AA27" s="127">
        <f t="shared" ref="AA27:AA31" si="40">+Y27</f>
        <v>0.216</v>
      </c>
      <c r="AB27" s="126" t="str">
        <f t="shared" si="14"/>
        <v>Leve</v>
      </c>
      <c r="AC27" s="127">
        <f t="shared" si="15"/>
        <v>0</v>
      </c>
      <c r="AD27" s="128" t="str">
        <f t="shared" si="16"/>
        <v>Bajo</v>
      </c>
      <c r="AE27" s="129" t="s">
        <v>132</v>
      </c>
      <c r="AF27" s="221"/>
      <c r="AG27" s="131"/>
      <c r="AH27" s="132"/>
      <c r="AI27" s="132"/>
      <c r="AJ27" s="130"/>
      <c r="AK27" s="131"/>
      <c r="AL27" s="129" t="s">
        <v>132</v>
      </c>
      <c r="AM27" s="130"/>
      <c r="AN27" s="130"/>
      <c r="AO27" s="130"/>
      <c r="AP27" s="131"/>
      <c r="AQ27" s="131"/>
      <c r="AR27" s="132"/>
      <c r="AS27" s="132"/>
      <c r="AT27" s="130"/>
      <c r="AU27" s="131"/>
    </row>
    <row r="28" spans="1:67" ht="85.5" customHeight="1" x14ac:dyDescent="0.3">
      <c r="A28" s="222">
        <v>12</v>
      </c>
      <c r="B28" s="243" t="s">
        <v>327</v>
      </c>
      <c r="C28" s="227" t="s">
        <v>129</v>
      </c>
      <c r="D28" s="227" t="s">
        <v>278</v>
      </c>
      <c r="E28" s="227" t="s">
        <v>277</v>
      </c>
      <c r="F28" s="229" t="s">
        <v>329</v>
      </c>
      <c r="G28" s="230" t="s">
        <v>308</v>
      </c>
      <c r="H28" s="217">
        <v>50</v>
      </c>
      <c r="I28" s="218" t="str">
        <f t="shared" si="31"/>
        <v>Media</v>
      </c>
      <c r="J28" s="214">
        <f t="shared" si="32"/>
        <v>0.6</v>
      </c>
      <c r="K28" s="238" t="s">
        <v>151</v>
      </c>
      <c r="L28" s="214" t="str">
        <f>IF(NOT(ISERROR(MATCH(K28,'Tabla Impacto'!$B$221:$B$223,0))),'Tabla Impacto'!$F$223&amp;"Por favor no seleccionar los criterios de impacto(Afectación Económica o presupuestal y Pérdida Reputacional)",K28)</f>
        <v xml:space="preserve">     El riesgo afecta la imagen de la entidad con algunos usuarios de relevancia frente al logro de los objetivos</v>
      </c>
      <c r="M28" s="235" t="str">
        <f>IF(OR(L28='Tabla Impacto'!$C$11,L28='Tabla Impacto'!$D$11),"Leve",IF(OR(L28='Tabla Impacto'!$C$12,L28='Tabla Impacto'!$D$12),"Menor",IF(OR(L28='Tabla Impacto'!$C$13,L28='Tabla Impacto'!$D$13),"Moderado",IF(OR(L28='Tabla Impacto'!$C$14,L28='Tabla Impacto'!$D$14),"Mayor",IF(OR(L28='Tabla Impacto'!$C$15,L28='Tabla Impacto'!$D$15),"Catastrófico","")))))</f>
        <v>Moderado</v>
      </c>
      <c r="N28" s="214">
        <f t="shared" ref="N28:N35" si="41">IF(M28="","",IF(M28="Leve",0.2,IF(M28="Menor",0.4,IF(M28="Moderado",0.6,IF(M28="Mayor",0.8,IF(M28="Catastrófico",1,))))))</f>
        <v>0.6</v>
      </c>
      <c r="O28" s="233" t="str">
        <f t="shared" ref="O28" si="42">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Moderado</v>
      </c>
      <c r="P28" s="121">
        <v>1</v>
      </c>
      <c r="Q28" s="150" t="s">
        <v>251</v>
      </c>
      <c r="R28" s="122" t="str">
        <f t="shared" si="35"/>
        <v>Probabilidad</v>
      </c>
      <c r="S28" s="123" t="s">
        <v>14</v>
      </c>
      <c r="T28" s="123" t="s">
        <v>9</v>
      </c>
      <c r="U28" s="124" t="str">
        <f t="shared" si="37"/>
        <v>40%</v>
      </c>
      <c r="V28" s="123" t="s">
        <v>19</v>
      </c>
      <c r="W28" s="123" t="s">
        <v>23</v>
      </c>
      <c r="X28" s="123" t="s">
        <v>117</v>
      </c>
      <c r="Y28" s="125">
        <f t="shared" ref="Y28" si="43">IFERROR(IF(R28="Probabilidad",(J28-(+J28*U28)),IF(R28="Impacto",J28,"")),"")</f>
        <v>0.36</v>
      </c>
      <c r="Z28" s="126" t="str">
        <f t="shared" si="39"/>
        <v>Baja</v>
      </c>
      <c r="AA28" s="127">
        <f t="shared" si="40"/>
        <v>0.36</v>
      </c>
      <c r="AB28" s="126" t="str">
        <f t="shared" si="14"/>
        <v>Leve</v>
      </c>
      <c r="AC28" s="127">
        <f t="shared" si="15"/>
        <v>0</v>
      </c>
      <c r="AD28" s="128" t="str">
        <f t="shared" si="16"/>
        <v>Bajo</v>
      </c>
      <c r="AE28" s="129" t="s">
        <v>32</v>
      </c>
      <c r="AF28" s="220" t="s">
        <v>292</v>
      </c>
      <c r="AG28" s="131"/>
      <c r="AH28" s="132"/>
      <c r="AI28" s="132"/>
      <c r="AJ28" s="130"/>
      <c r="AK28" s="131"/>
      <c r="AL28" s="129" t="s">
        <v>32</v>
      </c>
      <c r="AM28" s="130"/>
      <c r="AN28" s="130"/>
      <c r="AO28" s="130"/>
      <c r="AP28" s="131"/>
      <c r="AQ28" s="131"/>
      <c r="AR28" s="132"/>
      <c r="AS28" s="132"/>
      <c r="AT28" s="130"/>
      <c r="AU28" s="131"/>
    </row>
    <row r="29" spans="1:67" ht="81" customHeight="1" x14ac:dyDescent="0.3">
      <c r="A29" s="222"/>
      <c r="B29" s="243"/>
      <c r="C29" s="227"/>
      <c r="D29" s="227"/>
      <c r="E29" s="227"/>
      <c r="F29" s="229"/>
      <c r="G29" s="230"/>
      <c r="H29" s="217"/>
      <c r="I29" s="241"/>
      <c r="J29" s="242"/>
      <c r="K29" s="244"/>
      <c r="L29" s="215">
        <f>IF(NOT(ISERROR(MATCH(K29,_xlfn.ANCHORARRAY(F53),0))),J55&amp;"Por favor no seleccionar los criterios de impacto",K29)</f>
        <v>0</v>
      </c>
      <c r="M29" s="236"/>
      <c r="N29" s="215"/>
      <c r="O29" s="234"/>
      <c r="P29" s="121">
        <v>2</v>
      </c>
      <c r="Q29" s="150" t="s">
        <v>252</v>
      </c>
      <c r="R29" s="122" t="str">
        <f t="shared" si="35"/>
        <v>Probabilidad</v>
      </c>
      <c r="S29" s="123" t="s">
        <v>15</v>
      </c>
      <c r="T29" s="123" t="s">
        <v>9</v>
      </c>
      <c r="U29" s="124" t="str">
        <f t="shared" si="37"/>
        <v>30%</v>
      </c>
      <c r="V29" s="123" t="s">
        <v>20</v>
      </c>
      <c r="W29" s="123" t="s">
        <v>22</v>
      </c>
      <c r="X29" s="123" t="s">
        <v>118</v>
      </c>
      <c r="Y29" s="125">
        <f t="shared" ref="Y29" si="44">IFERROR(IF(AND(R28="Probabilidad",R29="Probabilidad"),(AA28-(+AA28*U29)),IF(R29="Probabilidad",(J28-(+J28*U29)),IF(R29="Impacto",AA28,""))),"")</f>
        <v>0.252</v>
      </c>
      <c r="Z29" s="126" t="str">
        <f t="shared" si="39"/>
        <v>Baja</v>
      </c>
      <c r="AA29" s="127">
        <f t="shared" si="40"/>
        <v>0.252</v>
      </c>
      <c r="AB29" s="126" t="str">
        <f t="shared" si="14"/>
        <v>Leve</v>
      </c>
      <c r="AC29" s="127">
        <f t="shared" si="15"/>
        <v>0</v>
      </c>
      <c r="AD29" s="128" t="str">
        <f t="shared" si="16"/>
        <v>Bajo</v>
      </c>
      <c r="AE29" s="129" t="s">
        <v>32</v>
      </c>
      <c r="AF29" s="221"/>
      <c r="AG29" s="131"/>
      <c r="AH29" s="132"/>
      <c r="AI29" s="132"/>
      <c r="AJ29" s="130"/>
      <c r="AK29" s="131"/>
      <c r="AL29" s="129" t="s">
        <v>32</v>
      </c>
      <c r="AM29" s="130"/>
      <c r="AN29" s="130"/>
      <c r="AO29" s="130"/>
      <c r="AP29" s="131"/>
      <c r="AQ29" s="131"/>
      <c r="AR29" s="132"/>
      <c r="AS29" s="132"/>
      <c r="AT29" s="130"/>
      <c r="AU29" s="131"/>
    </row>
    <row r="30" spans="1:67" ht="115.5" customHeight="1" x14ac:dyDescent="0.3">
      <c r="A30" s="146">
        <v>13</v>
      </c>
      <c r="B30" s="149" t="s">
        <v>332</v>
      </c>
      <c r="C30" s="151" t="s">
        <v>129</v>
      </c>
      <c r="D30" s="151" t="s">
        <v>287</v>
      </c>
      <c r="E30" s="151" t="s">
        <v>286</v>
      </c>
      <c r="F30" s="169" t="s">
        <v>330</v>
      </c>
      <c r="G30" s="145" t="s">
        <v>123</v>
      </c>
      <c r="H30" s="148">
        <v>80</v>
      </c>
      <c r="I30" s="164" t="str">
        <f t="shared" ref="I30:I31" si="45">IF(H30&lt;=0,"",IF(H30&lt;=2,"Muy Baja",IF(H30&lt;=24,"Baja",IF(H30&lt;=500,"Media",IF(H30&lt;=5000,"Alta","Muy Alta")))))</f>
        <v>Media</v>
      </c>
      <c r="J30" s="157">
        <f t="shared" ref="J30:J31" si="46">IF(I30="","",IF(I30="Muy Baja",0.2,IF(I30="Baja",0.4,IF(I30="Media",0.6,IF(I30="Alta",0.8,IF(I30="Muy Alta",1,))))))</f>
        <v>0.6</v>
      </c>
      <c r="K30" s="154" t="s">
        <v>152</v>
      </c>
      <c r="L30" s="157" t="str">
        <f>IF(NOT(ISERROR(MATCH(K30,'Tabla Impacto'!$B$221:$B$223,0))),'Tabla Impacto'!$F$223&amp;"Por favor no seleccionar los criterios de impacto(Afectación Económica o presupuestal y Pérdida Reputacional)",K30)</f>
        <v xml:space="preserve">     El riesgo afecta la imagen de de la entidad con efecto publicitario sostenido a nivel de sector administrativo, nivel departamental o municipal</v>
      </c>
      <c r="M30" s="156" t="str">
        <f>IF(OR(L30='Tabla Impacto'!$C$11,L30='Tabla Impacto'!$D$11),"Leve",IF(OR(L30='Tabla Impacto'!$C$12,L30='Tabla Impacto'!$D$12),"Menor",IF(OR(L30='Tabla Impacto'!$C$13,L30='Tabla Impacto'!$D$13),"Moderado",IF(OR(L30='Tabla Impacto'!$C$14,L30='Tabla Impacto'!$D$14),"Mayor",IF(OR(L30='Tabla Impacto'!$C$15,L30='Tabla Impacto'!$D$15),"Catastrófico","")))))</f>
        <v>Mayor</v>
      </c>
      <c r="N30" s="157">
        <f t="shared" ref="N30:N31" si="47">IF(M30="","",IF(M30="Leve",0.2,IF(M30="Menor",0.4,IF(M30="Moderado",0.6,IF(M30="Mayor",0.8,IF(M30="Catastrófico",1,))))))</f>
        <v>0.8</v>
      </c>
      <c r="O30" s="159" t="str">
        <f t="shared" ref="O30:O31" si="48">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Alto</v>
      </c>
      <c r="P30" s="121"/>
      <c r="Q30" s="150" t="s">
        <v>288</v>
      </c>
      <c r="R30" s="122" t="str">
        <f t="shared" ref="R30:R31" si="49">IF(OR(S30="Preventivo",S30="Detectivo"),"Probabilidad",IF(S30="Correctivo","Impacto",""))</f>
        <v>Probabilidad</v>
      </c>
      <c r="S30" s="123" t="s">
        <v>14</v>
      </c>
      <c r="T30" s="123" t="s">
        <v>10</v>
      </c>
      <c r="U30" s="124" t="str">
        <f t="shared" si="37"/>
        <v>50%</v>
      </c>
      <c r="V30" s="123" t="s">
        <v>19</v>
      </c>
      <c r="W30" s="123" t="s">
        <v>22</v>
      </c>
      <c r="X30" s="123" t="s">
        <v>117</v>
      </c>
      <c r="Y30" s="125">
        <f t="shared" ref="Y30:Y31" si="50">IFERROR(IF(R30="Probabilidad",(J30-(+J30*U30)),IF(R30="Impacto",J30,"")),"")</f>
        <v>0.3</v>
      </c>
      <c r="Z30" s="126" t="str">
        <f t="shared" si="39"/>
        <v>Baja</v>
      </c>
      <c r="AA30" s="127">
        <f t="shared" si="40"/>
        <v>0.3</v>
      </c>
      <c r="AB30" s="126" t="str">
        <f t="shared" si="14"/>
        <v>Leve</v>
      </c>
      <c r="AC30" s="127">
        <f t="shared" si="15"/>
        <v>0</v>
      </c>
      <c r="AD30" s="128" t="str">
        <f t="shared" si="16"/>
        <v>Bajo</v>
      </c>
      <c r="AE30" s="129" t="s">
        <v>132</v>
      </c>
      <c r="AF30" s="220" t="s">
        <v>296</v>
      </c>
      <c r="AG30" s="130" t="s">
        <v>348</v>
      </c>
      <c r="AH30" s="132" t="s">
        <v>349</v>
      </c>
      <c r="AI30" s="174" t="s">
        <v>345</v>
      </c>
      <c r="AJ30" s="130" t="s">
        <v>350</v>
      </c>
      <c r="AK30" s="131" t="s">
        <v>40</v>
      </c>
      <c r="AL30" s="129" t="s">
        <v>132</v>
      </c>
      <c r="AM30" s="130"/>
      <c r="AN30" s="130"/>
      <c r="AO30" s="130"/>
      <c r="AP30" s="131"/>
      <c r="AQ30" s="131"/>
      <c r="AR30" s="132"/>
      <c r="AS30" s="132"/>
      <c r="AT30" s="130"/>
      <c r="AU30" s="131"/>
    </row>
    <row r="31" spans="1:67" ht="161.25" customHeight="1" x14ac:dyDescent="0.3">
      <c r="A31" s="146">
        <v>14</v>
      </c>
      <c r="B31" s="149" t="s">
        <v>332</v>
      </c>
      <c r="C31" s="151" t="s">
        <v>129</v>
      </c>
      <c r="D31" s="151" t="s">
        <v>287</v>
      </c>
      <c r="E31" s="151" t="s">
        <v>286</v>
      </c>
      <c r="F31" s="169" t="s">
        <v>331</v>
      </c>
      <c r="G31" s="145" t="s">
        <v>123</v>
      </c>
      <c r="H31" s="148">
        <v>80</v>
      </c>
      <c r="I31" s="164" t="str">
        <f t="shared" si="45"/>
        <v>Media</v>
      </c>
      <c r="J31" s="157">
        <f t="shared" si="46"/>
        <v>0.6</v>
      </c>
      <c r="K31" s="154" t="s">
        <v>152</v>
      </c>
      <c r="L31" s="157" t="str">
        <f>IF(NOT(ISERROR(MATCH(K31,'Tabla Impacto'!$B$221:$B$223,0))),'Tabla Impacto'!$F$223&amp;"Por favor no seleccionar los criterios de impacto(Afectación Económica o presupuestal y Pérdida Reputacional)",K31)</f>
        <v xml:space="preserve">     El riesgo afecta la imagen de de la entidad con efecto publicitario sostenido a nivel de sector administrativo, nivel departamental o municipal</v>
      </c>
      <c r="M31" s="156" t="str">
        <f>IF(OR(L31='Tabla Impacto'!$C$11,L31='Tabla Impacto'!$D$11),"Leve",IF(OR(L31='Tabla Impacto'!$C$12,L31='Tabla Impacto'!$D$12),"Menor",IF(OR(L31='Tabla Impacto'!$C$13,L31='Tabla Impacto'!$D$13),"Moderado",IF(OR(L31='Tabla Impacto'!$C$14,L31='Tabla Impacto'!$D$14),"Mayor",IF(OR(L31='Tabla Impacto'!$C$15,L31='Tabla Impacto'!$D$15),"Catastrófico","")))))</f>
        <v>Mayor</v>
      </c>
      <c r="N31" s="157">
        <f t="shared" si="47"/>
        <v>0.8</v>
      </c>
      <c r="O31" s="159" t="str">
        <f t="shared" si="48"/>
        <v>Alto</v>
      </c>
      <c r="P31" s="121"/>
      <c r="Q31" s="150" t="s">
        <v>289</v>
      </c>
      <c r="R31" s="122" t="str">
        <f t="shared" si="49"/>
        <v>Probabilidad</v>
      </c>
      <c r="S31" s="123" t="s">
        <v>14</v>
      </c>
      <c r="T31" s="123" t="s">
        <v>10</v>
      </c>
      <c r="U31" s="124" t="str">
        <f t="shared" si="37"/>
        <v>50%</v>
      </c>
      <c r="V31" s="123" t="s">
        <v>19</v>
      </c>
      <c r="W31" s="123" t="s">
        <v>22</v>
      </c>
      <c r="X31" s="123" t="s">
        <v>117</v>
      </c>
      <c r="Y31" s="125">
        <f t="shared" si="50"/>
        <v>0.3</v>
      </c>
      <c r="Z31" s="126" t="str">
        <f t="shared" si="39"/>
        <v>Baja</v>
      </c>
      <c r="AA31" s="127">
        <f t="shared" si="40"/>
        <v>0.3</v>
      </c>
      <c r="AB31" s="126" t="str">
        <f t="shared" si="14"/>
        <v>Leve</v>
      </c>
      <c r="AC31" s="127">
        <f t="shared" si="15"/>
        <v>0</v>
      </c>
      <c r="AD31" s="128" t="str">
        <f t="shared" si="16"/>
        <v>Bajo</v>
      </c>
      <c r="AE31" s="129" t="s">
        <v>132</v>
      </c>
      <c r="AF31" s="221"/>
      <c r="AG31" s="130" t="s">
        <v>348</v>
      </c>
      <c r="AH31" s="132" t="s">
        <v>349</v>
      </c>
      <c r="AI31" s="174" t="s">
        <v>345</v>
      </c>
      <c r="AJ31" s="130" t="s">
        <v>351</v>
      </c>
      <c r="AK31" s="131" t="s">
        <v>40</v>
      </c>
      <c r="AL31" s="129" t="s">
        <v>132</v>
      </c>
      <c r="AM31" s="130"/>
      <c r="AN31" s="130"/>
      <c r="AO31" s="130"/>
      <c r="AP31" s="131"/>
      <c r="AQ31" s="131"/>
      <c r="AR31" s="132"/>
      <c r="AS31" s="132"/>
      <c r="AT31" s="130"/>
      <c r="AU31" s="131"/>
    </row>
    <row r="32" spans="1:67" ht="152.25" customHeight="1" x14ac:dyDescent="0.3">
      <c r="A32" s="146">
        <v>15</v>
      </c>
      <c r="B32" s="149" t="s">
        <v>254</v>
      </c>
      <c r="C32" s="151" t="s">
        <v>129</v>
      </c>
      <c r="D32" s="151" t="s">
        <v>257</v>
      </c>
      <c r="E32" s="151" t="s">
        <v>305</v>
      </c>
      <c r="F32" s="169" t="s">
        <v>253</v>
      </c>
      <c r="G32" s="145" t="s">
        <v>123</v>
      </c>
      <c r="H32" s="148">
        <v>200</v>
      </c>
      <c r="I32" s="164" t="str">
        <f t="shared" si="31"/>
        <v>Media</v>
      </c>
      <c r="J32" s="157">
        <f t="shared" si="32"/>
        <v>0.6</v>
      </c>
      <c r="K32" s="154" t="s">
        <v>152</v>
      </c>
      <c r="L32" s="157" t="str">
        <f>IF(NOT(ISERROR(MATCH(K32,'Tabla Impacto'!$B$221:$B$223,0))),'Tabla Impacto'!$F$223&amp;"Por favor no seleccionar los criterios de impacto(Afectación Económica o presupuestal y Pérdida Reputacional)",K32)</f>
        <v xml:space="preserve">     El riesgo afecta la imagen de de la entidad con efecto publicitario sostenido a nivel de sector administrativo, nivel departamental o municipal</v>
      </c>
      <c r="M32" s="156" t="str">
        <f>IF(OR(L32='Tabla Impacto'!$C$11,L32='Tabla Impacto'!$D$11),"Leve",IF(OR(L32='Tabla Impacto'!$C$12,L32='Tabla Impacto'!$D$12),"Menor",IF(OR(L32='Tabla Impacto'!$C$13,L32='Tabla Impacto'!$D$13),"Moderado",IF(OR(L32='Tabla Impacto'!$C$14,L32='Tabla Impacto'!$D$14),"Mayor",IF(OR(L32='Tabla Impacto'!$C$15,L32='Tabla Impacto'!$D$15),"Catastrófico","")))))</f>
        <v>Mayor</v>
      </c>
      <c r="N32" s="157">
        <f t="shared" si="41"/>
        <v>0.8</v>
      </c>
      <c r="O32" s="159" t="str">
        <f t="shared" ref="O32:O33" si="51">IF(OR(AND(I32="Muy Baja",M32="Leve"),AND(I32="Muy Baja",M32="Menor"),AND(I32="Baja",M32="Leve")),"Bajo",IF(OR(AND(I32="Muy baja",M32="Moderado"),AND(I32="Baja",M32="Menor"),AND(I32="Baja",M32="Moderado"),AND(I32="Media",M32="Leve"),AND(I32="Media",M32="Menor"),AND(I32="Media",M32="Moderado"),AND(I32="Alta",M32="Leve"),AND(I32="Alta",M32="Menor")),"Moderado",IF(OR(AND(I32="Muy Baja",M32="Mayor"),AND(I32="Baja",M32="Mayor"),AND(I32="Media",M32="Mayor"),AND(I32="Alta",M32="Moderado"),AND(I32="Alta",M32="Mayor"),AND(I32="Muy Alta",M32="Leve"),AND(I32="Muy Alta",M32="Menor"),AND(I32="Muy Alta",M32="Moderado"),AND(I32="Muy Alta",M32="Mayor")),"Alto",IF(OR(AND(I32="Muy Baja",M32="Catastrófico"),AND(I32="Baja",M32="Catastrófico"),AND(I32="Media",M32="Catastrófico"),AND(I32="Alta",M32="Catastrófico"),AND(I32="Muy Alta",M32="Catastrófico")),"Extremo",""))))</f>
        <v>Alto</v>
      </c>
      <c r="P32" s="121">
        <v>1</v>
      </c>
      <c r="Q32" s="150" t="s">
        <v>255</v>
      </c>
      <c r="R32" s="122" t="str">
        <f t="shared" si="35"/>
        <v>Probabilidad</v>
      </c>
      <c r="S32" s="123" t="s">
        <v>14</v>
      </c>
      <c r="T32" s="123" t="s">
        <v>10</v>
      </c>
      <c r="U32" s="124" t="str">
        <f t="shared" ref="U32:U42" si="52">IF(AND(S32="Preventivo",T32="Automático"),"50%",IF(AND(S32="Preventivo",T32="Manual"),"40%",IF(AND(S32="Detectivo",T32="Automático"),"40%",IF(AND(S32="Detectivo",T32="Manual"),"30%",IF(AND(S32="Correctivo",T32="Automático"),"35%",IF(AND(S32="Correctivo",T32="Manual"),"25%",""))))))</f>
        <v>50%</v>
      </c>
      <c r="V32" s="123" t="s">
        <v>19</v>
      </c>
      <c r="W32" s="123" t="s">
        <v>22</v>
      </c>
      <c r="X32" s="123" t="s">
        <v>117</v>
      </c>
      <c r="Y32" s="125">
        <f t="shared" ref="Y32" si="53">IFERROR(IF(R32="Probabilidad",(J32-(+J32*U32)),IF(R32="Impacto",J32,"")),"")</f>
        <v>0.3</v>
      </c>
      <c r="Z32" s="126" t="str">
        <f t="shared" ref="Z32:Z35" si="54">IFERROR(IF(Y32="","",IF(Y32&lt;=0.2,"Muy Baja",IF(Y32&lt;=0.4,"Baja",IF(Y32&lt;=0.6,"Media",IF(Y32&lt;=0.8,"Alta","Muy Alta"))))),"")</f>
        <v>Baja</v>
      </c>
      <c r="AA32" s="127">
        <f t="shared" ref="AA32:AA36" si="55">+Y32</f>
        <v>0.3</v>
      </c>
      <c r="AB32" s="126" t="str">
        <f t="shared" si="14"/>
        <v>Leve</v>
      </c>
      <c r="AC32" s="127">
        <f t="shared" si="15"/>
        <v>0</v>
      </c>
      <c r="AD32" s="128" t="str">
        <f t="shared" si="16"/>
        <v>Bajo</v>
      </c>
      <c r="AE32" s="129" t="s">
        <v>132</v>
      </c>
      <c r="AF32" s="220" t="s">
        <v>306</v>
      </c>
      <c r="AG32" s="131"/>
      <c r="AH32" s="132"/>
      <c r="AI32" s="132"/>
      <c r="AJ32" s="130"/>
      <c r="AK32" s="131"/>
      <c r="AL32" s="129" t="s">
        <v>132</v>
      </c>
      <c r="AM32" s="130"/>
      <c r="AN32" s="130"/>
      <c r="AO32" s="130"/>
      <c r="AP32" s="131"/>
      <c r="AQ32" s="131"/>
      <c r="AR32" s="132"/>
      <c r="AS32" s="132"/>
      <c r="AT32" s="130"/>
      <c r="AU32" s="131"/>
    </row>
    <row r="33" spans="1:67" ht="132.75" customHeight="1" x14ac:dyDescent="0.3">
      <c r="A33" s="146">
        <v>16</v>
      </c>
      <c r="B33" s="149" t="s">
        <v>254</v>
      </c>
      <c r="C33" s="151" t="s">
        <v>129</v>
      </c>
      <c r="D33" s="151" t="s">
        <v>259</v>
      </c>
      <c r="E33" s="151" t="s">
        <v>258</v>
      </c>
      <c r="F33" s="169" t="s">
        <v>256</v>
      </c>
      <c r="G33" s="145" t="s">
        <v>123</v>
      </c>
      <c r="H33" s="148">
        <v>800</v>
      </c>
      <c r="I33" s="164" t="str">
        <f t="shared" si="31"/>
        <v>Alta</v>
      </c>
      <c r="J33" s="160">
        <f t="shared" si="32"/>
        <v>0.8</v>
      </c>
      <c r="K33" s="155" t="s">
        <v>151</v>
      </c>
      <c r="L33" s="158" t="str">
        <f>IF(NOT(ISERROR(MATCH(K33,_xlfn.ANCHORARRAY(F55),0))),J57&amp;"Por favor no seleccionar los criterios de impacto",K33)</f>
        <v xml:space="preserve">     El riesgo afecta la imagen de la entidad con algunos usuarios de relevancia frente al logro de los objetivos</v>
      </c>
      <c r="M33" s="156" t="str">
        <f>IF(OR(L33='Tabla Impacto'!$C$11,L33='Tabla Impacto'!$D$11),"Leve",IF(OR(L33='Tabla Impacto'!$C$12,L33='Tabla Impacto'!$D$12),"Menor",IF(OR(L33='Tabla Impacto'!$C$13,L33='Tabla Impacto'!$D$13),"Moderado",IF(OR(L33='Tabla Impacto'!$C$14,L33='Tabla Impacto'!$D$14),"Mayor",IF(OR(L33='Tabla Impacto'!$C$15,L33='Tabla Impacto'!$D$15),"Catastrófico","")))))</f>
        <v>Moderado</v>
      </c>
      <c r="N33" s="157">
        <f t="shared" si="41"/>
        <v>0.6</v>
      </c>
      <c r="O33" s="159" t="str">
        <f t="shared" si="51"/>
        <v>Alto</v>
      </c>
      <c r="P33" s="121">
        <v>1</v>
      </c>
      <c r="Q33" s="150" t="s">
        <v>260</v>
      </c>
      <c r="R33" s="122" t="str">
        <f t="shared" si="35"/>
        <v>Probabilidad</v>
      </c>
      <c r="S33" s="123" t="s">
        <v>14</v>
      </c>
      <c r="T33" s="123" t="s">
        <v>10</v>
      </c>
      <c r="U33" s="124" t="str">
        <f t="shared" si="52"/>
        <v>50%</v>
      </c>
      <c r="V33" s="123" t="s">
        <v>19</v>
      </c>
      <c r="W33" s="123" t="s">
        <v>22</v>
      </c>
      <c r="X33" s="123" t="s">
        <v>117</v>
      </c>
      <c r="Y33" s="125">
        <f t="shared" ref="Y33" si="56">IFERROR(IF(AND(R32="Probabilidad",R33="Probabilidad"),(AA32-(+AA32*U33)),IF(R33="Probabilidad",(J32-(+J32*U33)),IF(R33="Impacto",AA32,""))),"")</f>
        <v>0.15</v>
      </c>
      <c r="Z33" s="126" t="str">
        <f t="shared" si="54"/>
        <v>Muy Baja</v>
      </c>
      <c r="AA33" s="127">
        <f t="shared" si="55"/>
        <v>0.15</v>
      </c>
      <c r="AB33" s="126" t="str">
        <f t="shared" si="14"/>
        <v>Leve</v>
      </c>
      <c r="AC33" s="127">
        <f t="shared" si="15"/>
        <v>0</v>
      </c>
      <c r="AD33" s="128" t="str">
        <f t="shared" si="16"/>
        <v>Bajo</v>
      </c>
      <c r="AE33" s="129" t="s">
        <v>133</v>
      </c>
      <c r="AF33" s="230"/>
      <c r="AG33" s="131"/>
      <c r="AH33" s="132"/>
      <c r="AI33" s="132"/>
      <c r="AJ33" s="130"/>
      <c r="AK33" s="131"/>
      <c r="AL33" s="129" t="s">
        <v>133</v>
      </c>
      <c r="AM33" s="130"/>
      <c r="AN33" s="130"/>
      <c r="AO33" s="130"/>
      <c r="AP33" s="131"/>
      <c r="AQ33" s="131"/>
      <c r="AR33" s="132"/>
      <c r="AS33" s="132"/>
      <c r="AT33" s="130"/>
      <c r="AU33" s="131"/>
    </row>
    <row r="34" spans="1:67" ht="114.75" customHeight="1" x14ac:dyDescent="0.3">
      <c r="A34" s="146">
        <v>17</v>
      </c>
      <c r="B34" s="149" t="s">
        <v>254</v>
      </c>
      <c r="C34" s="151" t="s">
        <v>129</v>
      </c>
      <c r="D34" s="151" t="s">
        <v>283</v>
      </c>
      <c r="E34" s="151" t="s">
        <v>307</v>
      </c>
      <c r="F34" s="169" t="s">
        <v>282</v>
      </c>
      <c r="G34" s="145" t="s">
        <v>308</v>
      </c>
      <c r="H34" s="148">
        <v>1440</v>
      </c>
      <c r="I34" s="164" t="str">
        <f t="shared" si="31"/>
        <v>Alta</v>
      </c>
      <c r="J34" s="160">
        <f t="shared" si="32"/>
        <v>0.8</v>
      </c>
      <c r="K34" s="166" t="s">
        <v>145</v>
      </c>
      <c r="L34" s="158" t="str">
        <f>IF(NOT(ISERROR(MATCH(K34,_xlfn.ANCHORARRAY(F56),0))),J58&amp;"Por favor no seleccionar los criterios de impacto",K34)</f>
        <v xml:space="preserve">     Entre 50 y 100 SMLMV </v>
      </c>
      <c r="M34" s="156" t="str">
        <f>IF(OR(L34='Tabla Impacto'!$C$11,L34='Tabla Impacto'!$D$11),"Leve",IF(OR(L34='Tabla Impacto'!$C$12,L34='Tabla Impacto'!$D$12),"Menor",IF(OR(L34='Tabla Impacto'!$C$13,L34='Tabla Impacto'!$D$13),"Moderado",IF(OR(L34='Tabla Impacto'!$C$14,L34='Tabla Impacto'!$D$14),"Mayor",IF(OR(L34='Tabla Impacto'!$C$15,L34='Tabla Impacto'!$D$15),"Catastrófico","")))))</f>
        <v>Moderado</v>
      </c>
      <c r="N34" s="157">
        <f t="shared" ref="N34" si="57">IF(M34="","",IF(M34="Leve",0.2,IF(M34="Menor",0.4,IF(M34="Moderado",0.6,IF(M34="Mayor",0.8,IF(M34="Catastrófico",1,))))))</f>
        <v>0.6</v>
      </c>
      <c r="O34" s="159" t="str">
        <f t="shared" ref="O34" si="58">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Alto</v>
      </c>
      <c r="P34" s="121">
        <v>1</v>
      </c>
      <c r="Q34" s="167" t="s">
        <v>309</v>
      </c>
      <c r="R34" s="122" t="str">
        <f t="shared" ref="R34" si="59">IF(OR(S34="Preventivo",S34="Detectivo"),"Probabilidad",IF(S34="Correctivo","Impacto",""))</f>
        <v>Probabilidad</v>
      </c>
      <c r="S34" s="123" t="s">
        <v>14</v>
      </c>
      <c r="T34" s="168" t="s">
        <v>10</v>
      </c>
      <c r="U34" s="124" t="str">
        <f t="shared" ref="U34" si="60">IF(AND(S34="Preventivo",T34="Automático"),"50%",IF(AND(S34="Preventivo",T34="Manual"),"40%",IF(AND(S34="Detectivo",T34="Automático"),"40%",IF(AND(S34="Detectivo",T34="Manual"),"30%",IF(AND(S34="Correctivo",T34="Automático"),"35%",IF(AND(S34="Correctivo",T34="Manual"),"25%",""))))))</f>
        <v>50%</v>
      </c>
      <c r="V34" s="123" t="s">
        <v>19</v>
      </c>
      <c r="W34" s="123" t="s">
        <v>23</v>
      </c>
      <c r="X34" s="123" t="s">
        <v>117</v>
      </c>
      <c r="Y34" s="125">
        <f t="shared" ref="Y34" si="61">IFERROR(IF(AND(R33="Probabilidad",R34="Probabilidad"),(AA33-(+AA33*U34)),IF(R34="Probabilidad",(J33-(+J33*U34)),IF(R34="Impacto",AA33,""))),"")</f>
        <v>7.4999999999999997E-2</v>
      </c>
      <c r="Z34" s="126" t="str">
        <f t="shared" ref="Z34" si="62">IFERROR(IF(Y34="","",IF(Y34&lt;=0.2,"Muy Baja",IF(Y34&lt;=0.4,"Baja",IF(Y34&lt;=0.6,"Media",IF(Y34&lt;=0.8,"Alta","Muy Alta"))))),"")</f>
        <v>Muy Baja</v>
      </c>
      <c r="AA34" s="127">
        <f t="shared" ref="AA34" si="63">+Y34</f>
        <v>7.4999999999999997E-2</v>
      </c>
      <c r="AB34" s="126" t="str">
        <f t="shared" si="14"/>
        <v>Leve</v>
      </c>
      <c r="AC34" s="127">
        <f t="shared" si="15"/>
        <v>0</v>
      </c>
      <c r="AD34" s="128" t="str">
        <f t="shared" si="16"/>
        <v>Bajo</v>
      </c>
      <c r="AE34" s="129" t="s">
        <v>132</v>
      </c>
      <c r="AF34" s="221"/>
      <c r="AG34" s="131"/>
      <c r="AH34" s="132"/>
      <c r="AI34" s="132"/>
      <c r="AJ34" s="130"/>
      <c r="AK34" s="131"/>
      <c r="AL34" s="129" t="s">
        <v>132</v>
      </c>
      <c r="AM34" s="130"/>
      <c r="AN34" s="130"/>
      <c r="AO34" s="130"/>
      <c r="AP34" s="131"/>
      <c r="AQ34" s="131"/>
      <c r="AR34" s="132"/>
      <c r="AS34" s="132"/>
      <c r="AT34" s="130"/>
      <c r="AU34" s="131"/>
    </row>
    <row r="35" spans="1:67" ht="210.75" customHeight="1" x14ac:dyDescent="0.3">
      <c r="A35" s="146">
        <v>18</v>
      </c>
      <c r="B35" s="149" t="s">
        <v>261</v>
      </c>
      <c r="C35" s="151" t="s">
        <v>128</v>
      </c>
      <c r="D35" s="151" t="s">
        <v>262</v>
      </c>
      <c r="E35" s="151" t="s">
        <v>263</v>
      </c>
      <c r="F35" s="169" t="s">
        <v>310</v>
      </c>
      <c r="G35" s="145" t="s">
        <v>308</v>
      </c>
      <c r="H35" s="148">
        <v>10</v>
      </c>
      <c r="I35" s="164" t="str">
        <f t="shared" si="31"/>
        <v>Baja</v>
      </c>
      <c r="J35" s="157">
        <f t="shared" si="32"/>
        <v>0.4</v>
      </c>
      <c r="K35" s="154" t="s">
        <v>150</v>
      </c>
      <c r="L35" s="157" t="str">
        <f>IF(NOT(ISERROR(MATCH(K35,'Tabla Impacto'!$B$221:$B$223,0))),'Tabla Impacto'!$F$223&amp;"Por favor no seleccionar los criterios de impacto(Afectación Económica o presupuestal y Pérdida Reputacional)",K35)</f>
        <v xml:space="preserve">     El riesgo afecta la imagen de la entidad internamente, de conocimiento general, nivel interno, de junta dircetiva y accionistas y/o de provedores</v>
      </c>
      <c r="M35" s="156" t="str">
        <f>IF(OR(L35='Tabla Impacto'!$C$11,L35='Tabla Impacto'!$D$11),"Leve",IF(OR(L35='Tabla Impacto'!$C$12,L35='Tabla Impacto'!$D$12),"Menor",IF(OR(L35='Tabla Impacto'!$C$13,L35='Tabla Impacto'!$D$13),"Moderado",IF(OR(L35='Tabla Impacto'!$C$14,L35='Tabla Impacto'!$D$14),"Mayor",IF(OR(L35='Tabla Impacto'!$C$15,L35='Tabla Impacto'!$D$15),"Catastrófico","")))))</f>
        <v>Menor</v>
      </c>
      <c r="N35" s="157">
        <f t="shared" si="41"/>
        <v>0.4</v>
      </c>
      <c r="O35" s="159" t="str">
        <f t="shared" ref="O35" si="64">IF(OR(AND(I35="Muy Baja",M35="Leve"),AND(I35="Muy Baja",M35="Menor"),AND(I35="Baja",M35="Leve")),"Bajo",IF(OR(AND(I35="Muy baja",M35="Moderado"),AND(I35="Baja",M35="Menor"),AND(I35="Baja",M35="Moderado"),AND(I35="Media",M35="Leve"),AND(I35="Media",M35="Menor"),AND(I35="Media",M35="Moderado"),AND(I35="Alta",M35="Leve"),AND(I35="Alta",M35="Menor")),"Moderado",IF(OR(AND(I35="Muy Baja",M35="Mayor"),AND(I35="Baja",M35="Mayor"),AND(I35="Media",M35="Mayor"),AND(I35="Alta",M35="Moderado"),AND(I35="Alta",M35="Mayor"),AND(I35="Muy Alta",M35="Leve"),AND(I35="Muy Alta",M35="Menor"),AND(I35="Muy Alta",M35="Moderado"),AND(I35="Muy Alta",M35="Mayor")),"Alto",IF(OR(AND(I35="Muy Baja",M35="Catastrófico"),AND(I35="Baja",M35="Catastrófico"),AND(I35="Media",M35="Catastrófico"),AND(I35="Alta",M35="Catastrófico"),AND(I35="Muy Alta",M35="Catastrófico")),"Extremo",""))))</f>
        <v>Moderado</v>
      </c>
      <c r="P35" s="121">
        <v>1</v>
      </c>
      <c r="Q35" s="161" t="s">
        <v>264</v>
      </c>
      <c r="R35" s="122" t="str">
        <f t="shared" si="35"/>
        <v>Probabilidad</v>
      </c>
      <c r="S35" s="123" t="s">
        <v>14</v>
      </c>
      <c r="T35" s="123" t="s">
        <v>9</v>
      </c>
      <c r="U35" s="124" t="str">
        <f t="shared" si="52"/>
        <v>40%</v>
      </c>
      <c r="V35" s="123" t="s">
        <v>19</v>
      </c>
      <c r="W35" s="123" t="s">
        <v>23</v>
      </c>
      <c r="X35" s="123" t="s">
        <v>117</v>
      </c>
      <c r="Y35" s="125">
        <f t="shared" ref="Y35" si="65">IFERROR(IF(R35="Probabilidad",(J35-(+J35*U35)),IF(R35="Impacto",J35,"")),"")</f>
        <v>0.24</v>
      </c>
      <c r="Z35" s="126" t="str">
        <f t="shared" si="54"/>
        <v>Baja</v>
      </c>
      <c r="AA35" s="127">
        <f t="shared" si="55"/>
        <v>0.24</v>
      </c>
      <c r="AB35" s="126" t="str">
        <f t="shared" si="14"/>
        <v>Leve</v>
      </c>
      <c r="AC35" s="127">
        <f t="shared" si="15"/>
        <v>0</v>
      </c>
      <c r="AD35" s="128" t="str">
        <f t="shared" si="16"/>
        <v>Bajo</v>
      </c>
      <c r="AE35" s="129" t="s">
        <v>32</v>
      </c>
      <c r="AF35" s="130"/>
      <c r="AG35" s="131"/>
      <c r="AH35" s="132"/>
      <c r="AI35" s="132"/>
      <c r="AJ35" s="130"/>
      <c r="AK35" s="131"/>
      <c r="AL35" s="129" t="s">
        <v>32</v>
      </c>
      <c r="AM35" s="130"/>
      <c r="AN35" s="131"/>
      <c r="AO35" s="130"/>
      <c r="AP35" s="131"/>
      <c r="AQ35" s="131"/>
      <c r="AR35" s="132"/>
      <c r="AS35" s="132"/>
      <c r="AT35" s="130"/>
      <c r="AU35" s="131"/>
    </row>
    <row r="36" spans="1:67" ht="50.25" customHeight="1" x14ac:dyDescent="0.3">
      <c r="A36" s="222">
        <v>19</v>
      </c>
      <c r="B36" s="243" t="s">
        <v>265</v>
      </c>
      <c r="C36" s="227" t="s">
        <v>129</v>
      </c>
      <c r="D36" s="227" t="s">
        <v>267</v>
      </c>
      <c r="E36" s="227" t="s">
        <v>268</v>
      </c>
      <c r="F36" s="229" t="s">
        <v>266</v>
      </c>
      <c r="G36" s="230" t="s">
        <v>240</v>
      </c>
      <c r="H36" s="217">
        <v>10000</v>
      </c>
      <c r="I36" s="218" t="str">
        <f t="shared" si="31"/>
        <v>Muy Alta</v>
      </c>
      <c r="J36" s="214">
        <f t="shared" ref="J36:J42" si="66">IF(I36="","",IF(I36="Muy Baja",0.2,IF(I36="Baja",0.4,IF(I36="Media",0.6,IF(I36="Alta",0.8,IF(I36="Muy Alta",1,))))))</f>
        <v>1</v>
      </c>
      <c r="K36" s="238" t="s">
        <v>151</v>
      </c>
      <c r="L36" s="214" t="str">
        <f>IF(NOT(ISERROR(MATCH(K36,'Tabla Impacto'!$B$221:$B$223,0))),'Tabla Impacto'!$F$223&amp;"Por favor no seleccionar los criterios de impacto(Afectación Económica o presupuestal y Pérdida Reputacional)",K36)</f>
        <v xml:space="preserve">     El riesgo afecta la imagen de la entidad con algunos usuarios de relevancia frente al logro de los objetivos</v>
      </c>
      <c r="M36" s="235" t="str">
        <f>IF(OR(L36='Tabla Impacto'!$C$11,L36='Tabla Impacto'!$D$11),"Leve",IF(OR(L36='Tabla Impacto'!$C$12,L36='Tabla Impacto'!$D$12),"Menor",IF(OR(L36='Tabla Impacto'!$C$13,L36='Tabla Impacto'!$D$13),"Moderado",IF(OR(L36='Tabla Impacto'!$C$14,L36='Tabla Impacto'!$D$14),"Mayor",IF(OR(L36='Tabla Impacto'!$C$15,L36='Tabla Impacto'!$D$15),"Catastrófico","")))))</f>
        <v>Moderado</v>
      </c>
      <c r="N36" s="214">
        <f t="shared" ref="N36" si="67">IF(M36="","",IF(M36="Leve",0.2,IF(M36="Menor",0.4,IF(M36="Moderado",0.6,IF(M36="Mayor",0.8,IF(M36="Catastrófico",1,))))))</f>
        <v>0.6</v>
      </c>
      <c r="O36" s="233" t="str">
        <f t="shared" ref="O36" si="68">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Alto</v>
      </c>
      <c r="P36" s="121">
        <v>1</v>
      </c>
      <c r="Q36" s="150" t="s">
        <v>269</v>
      </c>
      <c r="R36" s="122" t="str">
        <f t="shared" si="35"/>
        <v>Probabilidad</v>
      </c>
      <c r="S36" s="123" t="s">
        <v>14</v>
      </c>
      <c r="T36" s="123" t="s">
        <v>9</v>
      </c>
      <c r="U36" s="124" t="str">
        <f t="shared" si="52"/>
        <v>40%</v>
      </c>
      <c r="V36" s="123" t="s">
        <v>19</v>
      </c>
      <c r="W36" s="123" t="s">
        <v>23</v>
      </c>
      <c r="X36" s="123" t="s">
        <v>117</v>
      </c>
      <c r="Y36" s="125">
        <f>IFERROR(IF(AND(R35="Probabilidad",R36="Probabilidad"),(AA35-(+AA35*U36)),IF(R36="Probabilidad",(J35-(+J35*U36)),IF(R36="Impacto",AA35,""))),"")</f>
        <v>0.14399999999999999</v>
      </c>
      <c r="Z36" s="126" t="str">
        <f>IFERROR(IF(Y36="","",IF(Y36&lt;=0.2,"Muy Baja",IF(Y36&lt;=0.4,"Baja",IF(Y36&lt;=0.6,"Media",IF(Y36&lt;=0.8,"Alta","Muy Alta"))))),"")</f>
        <v>Muy Baja</v>
      </c>
      <c r="AA36" s="127">
        <f t="shared" si="55"/>
        <v>0.14399999999999999</v>
      </c>
      <c r="AB36" s="126" t="str">
        <f t="shared" si="14"/>
        <v>Leve</v>
      </c>
      <c r="AC36" s="127">
        <f t="shared" si="15"/>
        <v>0</v>
      </c>
      <c r="AD36" s="128" t="str">
        <f t="shared" si="16"/>
        <v>Bajo</v>
      </c>
      <c r="AE36" s="129" t="s">
        <v>132</v>
      </c>
      <c r="AF36" s="130"/>
      <c r="AG36" s="131"/>
      <c r="AH36" s="132"/>
      <c r="AI36" s="132"/>
      <c r="AJ36" s="130"/>
      <c r="AK36" s="131"/>
      <c r="AL36" s="129" t="s">
        <v>132</v>
      </c>
      <c r="AM36" s="130"/>
      <c r="AN36" s="131"/>
      <c r="AO36" s="130"/>
      <c r="AP36" s="131"/>
      <c r="AQ36" s="131"/>
      <c r="AR36" s="132"/>
      <c r="AS36" s="132"/>
      <c r="AT36" s="130"/>
      <c r="AU36" s="131"/>
    </row>
    <row r="37" spans="1:67" ht="64.5" x14ac:dyDescent="0.3">
      <c r="A37" s="222"/>
      <c r="B37" s="243"/>
      <c r="C37" s="227"/>
      <c r="D37" s="227"/>
      <c r="E37" s="227"/>
      <c r="F37" s="229"/>
      <c r="G37" s="230"/>
      <c r="H37" s="217"/>
      <c r="I37" s="219"/>
      <c r="J37" s="242"/>
      <c r="K37" s="237"/>
      <c r="L37" s="215"/>
      <c r="M37" s="236"/>
      <c r="N37" s="215"/>
      <c r="O37" s="234"/>
      <c r="P37" s="121">
        <v>2</v>
      </c>
      <c r="Q37" s="150" t="s">
        <v>270</v>
      </c>
      <c r="R37" s="122" t="str">
        <f t="shared" si="35"/>
        <v>Probabilidad</v>
      </c>
      <c r="S37" s="123" t="s">
        <v>14</v>
      </c>
      <c r="T37" s="123" t="s">
        <v>9</v>
      </c>
      <c r="U37" s="124" t="str">
        <f t="shared" si="52"/>
        <v>40%</v>
      </c>
      <c r="V37" s="123" t="s">
        <v>19</v>
      </c>
      <c r="W37" s="123" t="s">
        <v>23</v>
      </c>
      <c r="X37" s="123" t="s">
        <v>117</v>
      </c>
      <c r="Y37" s="125">
        <f t="shared" ref="Y37" si="69">IFERROR(IF(AND(R36="Probabilidad",R37="Probabilidad"),(AA36-(+AA36*U37)),IF(R37="Probabilidad",(J36-(+J36*U37)),IF(R37="Impacto",AA36,""))),"")</f>
        <v>8.6399999999999991E-2</v>
      </c>
      <c r="Z37" s="126" t="str">
        <f>IFERROR(IF(Y37="","",IF(Y37&lt;=0.2,"Muy Baja",IF(Y37&lt;=0.4,"Baja",IF(Y37&lt;=0.6,"Media",IF(Y37&lt;=0.8,"Alta","Muy Alta"))))),"")</f>
        <v>Muy Baja</v>
      </c>
      <c r="AA37" s="127">
        <f t="shared" ref="AA37:AA42" si="70">+Y37</f>
        <v>8.6399999999999991E-2</v>
      </c>
      <c r="AB37" s="126" t="str">
        <f t="shared" si="14"/>
        <v>Leve</v>
      </c>
      <c r="AC37" s="127">
        <f t="shared" si="15"/>
        <v>0</v>
      </c>
      <c r="AD37" s="128" t="str">
        <f t="shared" si="16"/>
        <v>Bajo</v>
      </c>
      <c r="AE37" s="129" t="s">
        <v>32</v>
      </c>
      <c r="AF37" s="130"/>
      <c r="AG37" s="131"/>
      <c r="AH37" s="132"/>
      <c r="AI37" s="132"/>
      <c r="AJ37" s="130"/>
      <c r="AK37" s="131"/>
      <c r="AL37" s="129" t="s">
        <v>32</v>
      </c>
      <c r="AM37" s="130"/>
      <c r="AN37" s="131"/>
      <c r="AO37" s="130"/>
      <c r="AP37" s="131"/>
      <c r="AQ37" s="131"/>
      <c r="AR37" s="132"/>
      <c r="AS37" s="132"/>
      <c r="AT37" s="130"/>
      <c r="AU37" s="131"/>
    </row>
    <row r="38" spans="1:67" ht="75" customHeight="1" x14ac:dyDescent="0.3">
      <c r="A38" s="222">
        <v>21</v>
      </c>
      <c r="B38" s="243" t="s">
        <v>265</v>
      </c>
      <c r="C38" s="227" t="s">
        <v>129</v>
      </c>
      <c r="D38" s="243" t="s">
        <v>273</v>
      </c>
      <c r="E38" s="227" t="s">
        <v>274</v>
      </c>
      <c r="F38" s="227" t="s">
        <v>279</v>
      </c>
      <c r="G38" s="230" t="s">
        <v>308</v>
      </c>
      <c r="H38" s="217">
        <v>4</v>
      </c>
      <c r="I38" s="218" t="str">
        <f>IF(H38&lt;=0,"",IF(H38&lt;=2,"Muy Baja",IF(H38&lt;=24,"Baja",IF(H38&lt;=500,"Media",IF(H38&lt;=5000,"Alta","Muy Alta")))))</f>
        <v>Baja</v>
      </c>
      <c r="J38" s="214">
        <f>IF(I38="","",IF(I38="Muy Baja",0.2,IF(I38="Baja",0.4,IF(I38="Media",0.6,IF(I38="Alta",0.8,IF(I38="Muy Alta",1,))))))</f>
        <v>0.4</v>
      </c>
      <c r="K38" s="237" t="s">
        <v>151</v>
      </c>
      <c r="L38" s="214" t="str">
        <f>IF(NOT(ISERROR(MATCH(K38,'Tabla Impacto'!$B$221:$B$223,0))),'Tabla Impacto'!$F$223&amp;"Por favor no seleccionar los criterios de impacto(Afectación Económica o presupuestal y Pérdida Reputacional)",K38)</f>
        <v xml:space="preserve">     El riesgo afecta la imagen de la entidad con algunos usuarios de relevancia frente al logro de los objetivos</v>
      </c>
      <c r="M38" s="235" t="str">
        <f>IF(OR(L38='Tabla Impacto'!$C$11,L38='Tabla Impacto'!$D$11),"Leve",IF(OR(L38='Tabla Impacto'!$C$12,L38='Tabla Impacto'!$D$12),"Menor",IF(OR(L38='Tabla Impacto'!$C$13,L38='Tabla Impacto'!$D$13),"Moderado",IF(OR(L38='Tabla Impacto'!$C$14,L38='Tabla Impacto'!$D$14),"Mayor",IF(OR(L38='Tabla Impacto'!$C$15,L38='Tabla Impacto'!$D$15),"Catastrófico","")))))</f>
        <v>Moderado</v>
      </c>
      <c r="N38" s="214">
        <f>IF(M38="","",IF(M38="Leve",0.2,IF(M38="Menor",0.4,IF(M38="Moderado",0.6,IF(M38="Mayor",0.8,IF(M38="Catastrófico",1,))))))</f>
        <v>0.6</v>
      </c>
      <c r="O38" s="233" t="str">
        <f>IF(OR(AND(I38="Muy Baja",M38="Leve"),AND(I38="Muy Baja",M38="Menor"),AND(I38="Baja",M38="Leve")),"Bajo",IF(OR(AND(I38="Muy baja",M38="Moderado"),AND(I38="Baja",M38="Menor"),AND(I38="Baja",M38="Moderado"),AND(I38="Media",M38="Leve"),AND(I38="Media",M38="Menor"),AND(I38="Media",M38="Moderado"),AND(I38="Alta",M38="Leve"),AND(I38="Alta",M38="Menor")),"Moderado",IF(OR(AND(I38="Muy Baja",M38="Mayor"),AND(I38="Baja",M38="Mayor"),AND(I38="Media",M38="Mayor"),AND(I38="Alta",M38="Moderado"),AND(I38="Alta",M38="Mayor"),AND(I38="Muy Alta",M38="Leve"),AND(I38="Muy Alta",M38="Menor"),AND(I38="Muy Alta",M38="Moderado"),AND(I38="Muy Alta",M38="Mayor")),"Alto",IF(OR(AND(I38="Muy Baja",M38="Catastrófico"),AND(I38="Baja",M38="Catastrófico"),AND(I38="Media",M38="Catastrófico"),AND(I38="Alta",M38="Catastrófico"),AND(I38="Muy Alta",M38="Catastrófico")),"Extremo",""))))</f>
        <v>Moderado</v>
      </c>
      <c r="P38" s="121">
        <v>1</v>
      </c>
      <c r="Q38" s="150" t="s">
        <v>212</v>
      </c>
      <c r="R38" s="122" t="str">
        <f>IF(OR(S38="Preventivo",S38="Detectivo"),"Probabilidad",IF(S38="Correctivo","Impacto",""))</f>
        <v>Probabilidad</v>
      </c>
      <c r="S38" s="123" t="s">
        <v>14</v>
      </c>
      <c r="T38" s="123" t="s">
        <v>9</v>
      </c>
      <c r="U38" s="124" t="str">
        <f>IF(AND(S38="Preventivo",T38="Automático"),"50%",IF(AND(S38="Preventivo",T38="Manual"),"40%",IF(AND(S38="Detectivo",T38="Automático"),"40%",IF(AND(S38="Detectivo",T38="Manual"),"30%",IF(AND(S38="Correctivo",T38="Automático"),"35%",IF(AND(S38="Correctivo",T38="Manual"),"25%",""))))))</f>
        <v>40%</v>
      </c>
      <c r="V38" s="123" t="s">
        <v>19</v>
      </c>
      <c r="W38" s="123" t="s">
        <v>22</v>
      </c>
      <c r="X38" s="123" t="s">
        <v>117</v>
      </c>
      <c r="Y38" s="125">
        <f>IFERROR(IF(AND(R42="Probabilidad",R38="Probabilidad"),(AA42-(+AA42*U38)),IF(R38="Probabilidad",(J42-(+J42*U38)),IF(R38="Impacto",AA42,""))),"")</f>
        <v>2.5919999999999995E-2</v>
      </c>
      <c r="Z38" s="126" t="str">
        <f>IFERROR(IF(Y38="","",IF(Y38&lt;=0.2,"Muy Baja",IF(Y38&lt;=0.4,"Baja",IF(Y38&lt;=0.6,"Media",IF(Y38&lt;=0.8,"Alta","Muy Alta"))))),"")</f>
        <v>Muy Baja</v>
      </c>
      <c r="AA38" s="127">
        <f>+Y38</f>
        <v>2.5919999999999995E-2</v>
      </c>
      <c r="AB38" s="126" t="str">
        <f t="shared" si="14"/>
        <v>Leve</v>
      </c>
      <c r="AC38" s="127">
        <f t="shared" si="15"/>
        <v>0</v>
      </c>
      <c r="AD38" s="128" t="str">
        <f t="shared" si="16"/>
        <v>Bajo</v>
      </c>
      <c r="AE38" s="129" t="s">
        <v>132</v>
      </c>
      <c r="AF38" s="130"/>
      <c r="AG38" s="131"/>
      <c r="AH38" s="132"/>
      <c r="AI38" s="132"/>
      <c r="AJ38" s="130"/>
      <c r="AK38" s="131"/>
      <c r="AL38" s="129" t="s">
        <v>132</v>
      </c>
      <c r="AM38" s="130"/>
      <c r="AN38" s="131"/>
      <c r="AO38" s="130"/>
      <c r="AP38" s="131"/>
      <c r="AQ38" s="131"/>
      <c r="AR38" s="132"/>
      <c r="AS38" s="132"/>
      <c r="AT38" s="130"/>
      <c r="AU38" s="131"/>
    </row>
    <row r="39" spans="1:67" ht="50.25" customHeight="1" x14ac:dyDescent="0.3">
      <c r="A39" s="222"/>
      <c r="B39" s="243"/>
      <c r="C39" s="227"/>
      <c r="D39" s="243"/>
      <c r="E39" s="227"/>
      <c r="F39" s="227"/>
      <c r="G39" s="230"/>
      <c r="H39" s="217"/>
      <c r="I39" s="219"/>
      <c r="J39" s="215"/>
      <c r="K39" s="237"/>
      <c r="L39" s="215"/>
      <c r="M39" s="236"/>
      <c r="N39" s="215"/>
      <c r="O39" s="234"/>
      <c r="P39" s="121">
        <v>2</v>
      </c>
      <c r="Q39" s="150" t="s">
        <v>281</v>
      </c>
      <c r="R39" s="122" t="str">
        <f>IF(OR(S39="Preventivo",S39="Detectivo"),"Probabilidad",IF(S39="Correctivo","Impacto",""))</f>
        <v>Probabilidad</v>
      </c>
      <c r="S39" s="123" t="s">
        <v>14</v>
      </c>
      <c r="T39" s="123" t="s">
        <v>9</v>
      </c>
      <c r="U39" s="124" t="str">
        <f>IF(AND(S39="Preventivo",T39="Automático"),"50%",IF(AND(S39="Preventivo",T39="Manual"),"40%",IF(AND(S39="Detectivo",T39="Automático"),"40%",IF(AND(S39="Detectivo",T39="Manual"),"30%",IF(AND(S39="Correctivo",T39="Automático"),"35%",IF(AND(S39="Correctivo",T39="Manual"),"25%",""))))))</f>
        <v>40%</v>
      </c>
      <c r="V39" s="123" t="s">
        <v>19</v>
      </c>
      <c r="W39" s="123" t="s">
        <v>22</v>
      </c>
      <c r="X39" s="123" t="s">
        <v>117</v>
      </c>
      <c r="Y39" s="125">
        <f>IFERROR(IF(AND(R38="Probabilidad",R39="Probabilidad"),(AA38-(+AA38*U39)),IF(R39="Probabilidad",(J38-(+J38*U39)),IF(R39="Impacto",AA38,""))),"")</f>
        <v>1.5551999999999996E-2</v>
      </c>
      <c r="Z39" s="126" t="str">
        <f>IFERROR(IF(Y39="","",IF(Y39&lt;=0.2,"Muy Baja",IF(Y39&lt;=0.4,"Baja",IF(Y39&lt;=0.6,"Media",IF(Y39&lt;=0.8,"Alta","Muy Alta"))))),"")</f>
        <v>Muy Baja</v>
      </c>
      <c r="AA39" s="127">
        <f>+Y39</f>
        <v>1.5551999999999996E-2</v>
      </c>
      <c r="AB39" s="126" t="str">
        <f t="shared" si="14"/>
        <v>Leve</v>
      </c>
      <c r="AC39" s="127">
        <f t="shared" si="15"/>
        <v>0</v>
      </c>
      <c r="AD39" s="128" t="str">
        <f t="shared" si="16"/>
        <v>Bajo</v>
      </c>
      <c r="AE39" s="129" t="s">
        <v>132</v>
      </c>
      <c r="AF39" s="130"/>
      <c r="AG39" s="131"/>
      <c r="AH39" s="132"/>
      <c r="AI39" s="132"/>
      <c r="AJ39" s="130"/>
      <c r="AK39" s="131"/>
      <c r="AL39" s="129" t="s">
        <v>132</v>
      </c>
      <c r="AM39" s="130"/>
      <c r="AN39" s="131"/>
      <c r="AO39" s="130"/>
      <c r="AP39" s="131"/>
      <c r="AQ39" s="131"/>
      <c r="AR39" s="132"/>
      <c r="AS39" s="132"/>
      <c r="AT39" s="130"/>
      <c r="AU39" s="131"/>
    </row>
    <row r="40" spans="1:67" ht="50.25" customHeight="1" x14ac:dyDescent="0.3">
      <c r="A40" s="223">
        <v>2</v>
      </c>
      <c r="B40" s="224" t="s">
        <v>299</v>
      </c>
      <c r="C40" s="226" t="s">
        <v>129</v>
      </c>
      <c r="D40" s="226" t="s">
        <v>215</v>
      </c>
      <c r="E40" s="226" t="s">
        <v>216</v>
      </c>
      <c r="F40" s="228" t="s">
        <v>312</v>
      </c>
      <c r="G40" s="220" t="s">
        <v>123</v>
      </c>
      <c r="H40" s="231">
        <v>24</v>
      </c>
      <c r="I40" s="218" t="str">
        <f>IF(H40&lt;=0,"",IF(H40&lt;=2,"Muy Baja",IF(H40&lt;=24,"Baja",IF(H40&lt;=500,"Media",IF(H40&lt;=5000,"Alta","Muy Alta")))))</f>
        <v>Baja</v>
      </c>
      <c r="J40" s="214">
        <f>IF(I40="","",IF(I40="Muy Baja",0.2,IF(I40="Baja",0.4,IF(I40="Media",0.6,IF(I40="Alta",0.8,IF(I40="Muy Alta",1,))))))</f>
        <v>0.4</v>
      </c>
      <c r="K40" s="238" t="s">
        <v>151</v>
      </c>
      <c r="L40" s="214" t="str">
        <f>IF(NOT(ISERROR(MATCH(K40,'Tabla Impacto'!$B$221:$B$223,0))),'Tabla Impacto'!$F$223&amp;"Por favor no seleccionar los criterios de impacto(Afectación Económica o presupuestal y Pérdida Reputacional)",K40)</f>
        <v xml:space="preserve">     El riesgo afecta la imagen de la entidad con algunos usuarios de relevancia frente al logro de los objetivos</v>
      </c>
      <c r="M40" s="235" t="str">
        <f>IF(OR(L40='Tabla Impacto'!$C$11,L40='Tabla Impacto'!$D$11),"Leve",IF(OR(L40='Tabla Impacto'!$C$12,L40='Tabla Impacto'!$D$12),"Menor",IF(OR(L40='Tabla Impacto'!$C$13,L40='Tabla Impacto'!$D$13),"Moderado",IF(OR(L40='Tabla Impacto'!$C$14,L40='Tabla Impacto'!$D$14),"Mayor",IF(OR(L40='Tabla Impacto'!$C$15,L40='Tabla Impacto'!$D$15),"Catastrófico","")))))</f>
        <v>Moderado</v>
      </c>
      <c r="N40" s="214">
        <f>IF(M40="","",IF(M40="Leve",0.2,IF(M40="Menor",0.4,IF(M40="Moderado",0.6,IF(M40="Mayor",0.8,IF(M40="Catastrófico",1,))))))</f>
        <v>0.6</v>
      </c>
      <c r="O40" s="233" t="str">
        <f>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Moderado</v>
      </c>
      <c r="P40" s="121">
        <v>1</v>
      </c>
      <c r="Q40" s="150" t="s">
        <v>217</v>
      </c>
      <c r="R40" s="122" t="str">
        <f t="shared" ref="R40:R41" si="71">IF(OR(S40="Preventivo",S40="Detectivo"),"Probabilidad",IF(S40="Correctivo","Impacto",""))</f>
        <v>Probabilidad</v>
      </c>
      <c r="S40" s="123" t="s">
        <v>15</v>
      </c>
      <c r="T40" s="123" t="s">
        <v>9</v>
      </c>
      <c r="U40" s="124" t="str">
        <f>IF(AND(S40="Preventivo",T40="Automático"),"50%",IF(AND(S40="Preventivo",T40="Manual"),"40%",IF(AND(S40="Detectivo",T40="Automático"),"40%",IF(AND(S40="Detectivo",T40="Manual"),"30%",IF(AND(S40="Correctivo",T40="Automático"),"35%",IF(AND(S40="Correctivo",T40="Manual"),"25%",""))))))</f>
        <v>30%</v>
      </c>
      <c r="V40" s="123" t="s">
        <v>19</v>
      </c>
      <c r="W40" s="123" t="s">
        <v>22</v>
      </c>
      <c r="X40" s="123" t="s">
        <v>117</v>
      </c>
      <c r="Y40" s="125">
        <f>IFERROR(IF(R40="Probabilidad",(J40-(+J40*U40)),IF(R40="Impacto",J40,"")),"")</f>
        <v>0.28000000000000003</v>
      </c>
      <c r="Z40" s="126" t="str">
        <f>IFERROR(IF(Y40="","",IF(Y40&lt;=0.2,"Muy Baja",IF(Y40&lt;=0.4,"Baja",IF(Y40&lt;=0.6,"Media",IF(Y40&lt;=0.8,"Alta","Muy Alta"))))),"")</f>
        <v>Baja</v>
      </c>
      <c r="AA40" s="127">
        <f>+Y40</f>
        <v>0.28000000000000003</v>
      </c>
      <c r="AB40" s="126" t="str">
        <f t="shared" si="14"/>
        <v>Leve</v>
      </c>
      <c r="AC40" s="127">
        <f t="shared" si="15"/>
        <v>0</v>
      </c>
      <c r="AD40" s="128" t="str">
        <f t="shared" si="16"/>
        <v>Bajo</v>
      </c>
      <c r="AE40" s="129" t="s">
        <v>132</v>
      </c>
      <c r="AF40" s="220" t="s">
        <v>291</v>
      </c>
      <c r="AG40" s="131"/>
      <c r="AH40" s="132"/>
      <c r="AI40" s="132"/>
      <c r="AJ40" s="130"/>
      <c r="AK40" s="131"/>
      <c r="AL40" s="129" t="s">
        <v>132</v>
      </c>
      <c r="AM40" s="130"/>
      <c r="AN40" s="131"/>
      <c r="AO40" s="130"/>
      <c r="AP40" s="131"/>
      <c r="AQ40" s="131"/>
      <c r="AR40" s="132"/>
      <c r="AS40" s="132"/>
      <c r="AT40" s="130"/>
      <c r="AU40" s="131"/>
      <c r="AV40" s="8"/>
      <c r="AW40" s="8"/>
      <c r="AX40" s="8"/>
      <c r="AY40" s="8"/>
      <c r="AZ40" s="8"/>
      <c r="BA40" s="8"/>
      <c r="BB40" s="8"/>
      <c r="BC40" s="8"/>
      <c r="BD40" s="8"/>
      <c r="BE40" s="8"/>
      <c r="BF40" s="8"/>
      <c r="BG40" s="8"/>
      <c r="BH40" s="8"/>
      <c r="BI40" s="8"/>
      <c r="BJ40" s="8"/>
      <c r="BK40" s="8"/>
      <c r="BL40" s="8"/>
      <c r="BM40" s="8"/>
      <c r="BN40" s="8"/>
      <c r="BO40" s="8"/>
    </row>
    <row r="41" spans="1:67" ht="50.25" customHeight="1" x14ac:dyDescent="0.3">
      <c r="A41" s="222"/>
      <c r="B41" s="225"/>
      <c r="C41" s="227"/>
      <c r="D41" s="227"/>
      <c r="E41" s="227"/>
      <c r="F41" s="229"/>
      <c r="G41" s="230"/>
      <c r="H41" s="232"/>
      <c r="I41" s="219"/>
      <c r="J41" s="215"/>
      <c r="K41" s="237"/>
      <c r="L41" s="215">
        <f>IF(NOT(ISERROR(MATCH(K41,_xlfn.ANCHORARRAY(#REF!),0))),#REF!&amp;"Por favor no seleccionar los criterios de impacto",K41)</f>
        <v>0</v>
      </c>
      <c r="M41" s="236"/>
      <c r="N41" s="215"/>
      <c r="O41" s="234"/>
      <c r="P41" s="121">
        <v>2</v>
      </c>
      <c r="Q41" s="150" t="s">
        <v>218</v>
      </c>
      <c r="R41" s="122" t="str">
        <f t="shared" si="71"/>
        <v>Probabilidad</v>
      </c>
      <c r="S41" s="123" t="s">
        <v>14</v>
      </c>
      <c r="T41" s="123" t="s">
        <v>10</v>
      </c>
      <c r="U41" s="124" t="str">
        <f t="shared" ref="U41" si="72">IF(AND(S41="Preventivo",T41="Automático"),"50%",IF(AND(S41="Preventivo",T41="Manual"),"40%",IF(AND(S41="Detectivo",T41="Automático"),"40%",IF(AND(S41="Detectivo",T41="Manual"),"30%",IF(AND(S41="Correctivo",T41="Automático"),"35%",IF(AND(S41="Correctivo",T41="Manual"),"25%",""))))))</f>
        <v>50%</v>
      </c>
      <c r="V41" s="123" t="s">
        <v>20</v>
      </c>
      <c r="W41" s="123" t="s">
        <v>22</v>
      </c>
      <c r="X41" s="123" t="s">
        <v>117</v>
      </c>
      <c r="Y41" s="125">
        <f>IFERROR(IF(AND(R40="Probabilidad",R41="Probabilidad"),(AA40-(+AA40*U41)),IF(R41="Probabilidad",(J40-(+J40*U41)),IF(R41="Impacto",AA40,""))),"")</f>
        <v>0.14000000000000001</v>
      </c>
      <c r="Z41" s="126" t="str">
        <f t="shared" ref="Z41" si="73">IFERROR(IF(Y41="","",IF(Y41&lt;=0.2,"Muy Baja",IF(Y41&lt;=0.4,"Baja",IF(Y41&lt;=0.6,"Media",IF(Y41&lt;=0.8,"Alta","Muy Alta"))))),"")</f>
        <v>Muy Baja</v>
      </c>
      <c r="AA41" s="127">
        <f t="shared" ref="AA41" si="74">+Y41</f>
        <v>0.14000000000000001</v>
      </c>
      <c r="AB41" s="126" t="str">
        <f t="shared" si="14"/>
        <v>Leve</v>
      </c>
      <c r="AC41" s="127">
        <f t="shared" si="15"/>
        <v>0</v>
      </c>
      <c r="AD41" s="128" t="str">
        <f t="shared" si="16"/>
        <v>Bajo</v>
      </c>
      <c r="AE41" s="129" t="s">
        <v>133</v>
      </c>
      <c r="AF41" s="221"/>
      <c r="AG41" s="131"/>
      <c r="AH41" s="132"/>
      <c r="AI41" s="132"/>
      <c r="AJ41" s="130"/>
      <c r="AK41" s="131"/>
      <c r="AL41" s="129" t="s">
        <v>133</v>
      </c>
      <c r="AM41" s="130"/>
      <c r="AN41" s="131"/>
      <c r="AO41" s="130"/>
      <c r="AP41" s="131"/>
      <c r="AQ41" s="131"/>
      <c r="AR41" s="132"/>
      <c r="AS41" s="132"/>
      <c r="AT41" s="130"/>
      <c r="AU41" s="131"/>
      <c r="AV41" s="8"/>
      <c r="AW41" s="8"/>
      <c r="AX41" s="8"/>
      <c r="AY41" s="8"/>
      <c r="AZ41" s="8"/>
      <c r="BA41" s="8"/>
      <c r="BB41" s="8"/>
      <c r="BC41" s="8"/>
      <c r="BD41" s="8"/>
      <c r="BE41" s="8"/>
      <c r="BF41" s="8"/>
      <c r="BG41" s="8"/>
      <c r="BH41" s="8"/>
      <c r="BI41" s="8"/>
      <c r="BJ41" s="8"/>
      <c r="BK41" s="8"/>
      <c r="BL41" s="8"/>
      <c r="BM41" s="8"/>
      <c r="BN41" s="8"/>
      <c r="BO41" s="8"/>
    </row>
    <row r="42" spans="1:67" ht="168.75" customHeight="1" x14ac:dyDescent="0.3">
      <c r="A42" s="146">
        <v>20</v>
      </c>
      <c r="B42" s="163" t="s">
        <v>313</v>
      </c>
      <c r="C42" s="162" t="s">
        <v>129</v>
      </c>
      <c r="D42" s="136" t="s">
        <v>271</v>
      </c>
      <c r="E42" s="151" t="s">
        <v>272</v>
      </c>
      <c r="F42" s="151" t="s">
        <v>314</v>
      </c>
      <c r="G42" s="145" t="s">
        <v>308</v>
      </c>
      <c r="H42" s="148">
        <v>500</v>
      </c>
      <c r="I42" s="164" t="str">
        <f t="shared" si="31"/>
        <v>Media</v>
      </c>
      <c r="J42" s="157">
        <f t="shared" si="66"/>
        <v>0.6</v>
      </c>
      <c r="K42" s="147" t="s">
        <v>151</v>
      </c>
      <c r="L42" s="157" t="str">
        <f>IF(NOT(ISERROR(MATCH(K42,'Tabla Impacto'!$B$221:$B$223,0))),'Tabla Impacto'!$F$223&amp;"Por favor no seleccionar los criterios de impacto(Afectación Económica o presupuestal y Pérdida Reputacional)",K42)</f>
        <v xml:space="preserve">     El riesgo afecta la imagen de la entidad con algunos usuarios de relevancia frente al logro de los objetivos</v>
      </c>
      <c r="M42" s="156" t="str">
        <f>IF(OR(L42='Tabla Impacto'!$C$11,L42='Tabla Impacto'!$D$11),"Leve",IF(OR(L42='Tabla Impacto'!$C$12,L42='Tabla Impacto'!$D$12),"Menor",IF(OR(L42='Tabla Impacto'!$C$13,L42='Tabla Impacto'!$D$13),"Moderado",IF(OR(L42='Tabla Impacto'!$C$14,L42='Tabla Impacto'!$D$14),"Mayor",IF(OR(L42='Tabla Impacto'!$C$15,L42='Tabla Impacto'!$D$15),"Catastrófico","")))))</f>
        <v>Moderado</v>
      </c>
      <c r="N42" s="157">
        <f t="shared" ref="N42" si="75">IF(M42="","",IF(M42="Leve",0.2,IF(M42="Menor",0.4,IF(M42="Moderado",0.6,IF(M42="Mayor",0.8,IF(M42="Catastrófico",1,))))))</f>
        <v>0.6</v>
      </c>
      <c r="O42" s="159" t="str">
        <f>IF(OR(AND(I42="Muy Baja",M42="Leve"),AND(I42="Muy Baja",M42="Menor"),AND(I42="Baja",M42="Leve")),"Bajo",IF(OR(AND(I42="Muy baja",M42="Moderado"),AND(I42="Baja",M42="Menor"),AND(I42="Baja",M42="Moderado"),AND(I42="Media",M42="Leve"),AND(I42="Media",M42="Menor"),AND(I42="Media",M42="Moderado"),AND(I42="Alta",M42="Leve"),AND(I42="Alta",M42="Menor")),"Moderado",IF(OR(AND(I42="Muy Baja",M42="Mayor"),AND(I42="Baja",M42="Mayor"),AND(I42="Media",M42="Mayor"),AND(I42="Alta",M42="Moderado"),AND(I42="Alta",M42="Mayor"),AND(I42="Muy Alta",M42="Leve"),AND(I42="Muy Alta",M42="Menor"),AND(I42="Muy Alta",M42="Moderado"),AND(I42="Muy Alta",M42="Mayor")),"Alto",IF(OR(AND(I42="Muy Baja",M42="Catastrófico"),AND(I42="Baja",M42="Catastrófico"),AND(I42="Media",M42="Catastrófico"),AND(I42="Alta",M42="Catastrófico"),AND(I42="Muy Alta",M42="Catastrófico")),"Extremo",""))))</f>
        <v>Moderado</v>
      </c>
      <c r="P42" s="121">
        <v>1</v>
      </c>
      <c r="Q42" s="165" t="s">
        <v>280</v>
      </c>
      <c r="R42" s="122" t="str">
        <f t="shared" si="35"/>
        <v>Probabilidad</v>
      </c>
      <c r="S42" s="123" t="s">
        <v>14</v>
      </c>
      <c r="T42" s="123" t="s">
        <v>10</v>
      </c>
      <c r="U42" s="124" t="str">
        <f t="shared" si="52"/>
        <v>50%</v>
      </c>
      <c r="V42" s="123" t="s">
        <v>19</v>
      </c>
      <c r="W42" s="123" t="s">
        <v>23</v>
      </c>
      <c r="X42" s="123" t="s">
        <v>117</v>
      </c>
      <c r="Y42" s="125">
        <f>IFERROR(IF(AND(R37="Probabilidad",R42="Probabilidad"),(AA37-(+AA37*U42)),IF(R42="Probabilidad",(J37-(+J37*U42)),IF(R42="Impacto",AA37,""))),"")</f>
        <v>4.3199999999999995E-2</v>
      </c>
      <c r="Z42" s="126" t="str">
        <f>IFERROR(IF(Y42="","",IF(Y42&lt;=0.2,"Muy Baja",IF(Y42&lt;=0.4,"Baja",IF(Y42&lt;=0.6,"Media",IF(Y42&lt;=0.8,"Alta","Muy Alta"))))),"")</f>
        <v>Muy Baja</v>
      </c>
      <c r="AA42" s="127">
        <f t="shared" si="70"/>
        <v>4.3199999999999995E-2</v>
      </c>
      <c r="AB42" s="126" t="str">
        <f t="shared" si="14"/>
        <v>Leve</v>
      </c>
      <c r="AC42" s="127">
        <f t="shared" si="15"/>
        <v>0</v>
      </c>
      <c r="AD42" s="128" t="str">
        <f t="shared" si="16"/>
        <v>Bajo</v>
      </c>
      <c r="AE42" s="129" t="s">
        <v>132</v>
      </c>
      <c r="AF42" s="130"/>
      <c r="AG42" s="131"/>
      <c r="AH42" s="132"/>
      <c r="AI42" s="132"/>
      <c r="AJ42" s="130"/>
      <c r="AK42" s="131"/>
      <c r="AL42" s="171" t="s">
        <v>132</v>
      </c>
      <c r="AM42" s="130"/>
      <c r="AN42" s="130"/>
      <c r="AO42" s="130"/>
      <c r="AP42" s="131"/>
      <c r="AQ42" s="131"/>
      <c r="AR42" s="132"/>
      <c r="AS42" s="132"/>
      <c r="AT42" s="130"/>
      <c r="AU42" s="131"/>
    </row>
    <row r="43" spans="1:67" ht="50.25" customHeight="1" x14ac:dyDescent="0.3">
      <c r="A43" s="6"/>
      <c r="B43" s="135"/>
      <c r="C43" s="284" t="s">
        <v>127</v>
      </c>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row>
    <row r="45" spans="1:67" ht="50.25" customHeight="1" x14ac:dyDescent="0.3">
      <c r="A45" s="1"/>
      <c r="C45" s="153" t="s">
        <v>139</v>
      </c>
      <c r="G45" s="1"/>
    </row>
  </sheetData>
  <sheetProtection algorithmName="SHA-512" hashValue="wcNX0O+71Y1iTn0zkjuFksaZQBUm2GdMstkJnu+Tj9DgGU7wbcyNQx+IeJGb+9nPFHx4pMtt4QXAhny4Qrq6tg==" saltValue="nH22mKiUCtDtVQQF5blVmA==" spinCount="100000" sheet="1" objects="1" scenarios="1" autoFilter="0"/>
  <autoFilter ref="A6:BO43" xr:uid="{00000000-0001-0000-0100-000000000000}"/>
  <dataConsolidate/>
  <mergeCells count="255">
    <mergeCell ref="A36:A37"/>
    <mergeCell ref="B36:B37"/>
    <mergeCell ref="C36:C37"/>
    <mergeCell ref="D36:D37"/>
    <mergeCell ref="E36:E37"/>
    <mergeCell ref="AF7:AF8"/>
    <mergeCell ref="AF9:AF10"/>
    <mergeCell ref="A26:A27"/>
    <mergeCell ref="F26:F27"/>
    <mergeCell ref="O26:O27"/>
    <mergeCell ref="O24:O25"/>
    <mergeCell ref="A28:A29"/>
    <mergeCell ref="C22:C23"/>
    <mergeCell ref="D22:D23"/>
    <mergeCell ref="K22:K23"/>
    <mergeCell ref="K18:K19"/>
    <mergeCell ref="L18:L19"/>
    <mergeCell ref="M18:M19"/>
    <mergeCell ref="K15:K17"/>
    <mergeCell ref="L15:L17"/>
    <mergeCell ref="M15:M17"/>
    <mergeCell ref="B15:B17"/>
    <mergeCell ref="B18:B19"/>
    <mergeCell ref="AL4:AO4"/>
    <mergeCell ref="AL5:AL6"/>
    <mergeCell ref="AM5:AM6"/>
    <mergeCell ref="AN5:AN6"/>
    <mergeCell ref="AO5:AO6"/>
    <mergeCell ref="J22:J23"/>
    <mergeCell ref="B22:B23"/>
    <mergeCell ref="M20:M21"/>
    <mergeCell ref="N20:N21"/>
    <mergeCell ref="H13:H14"/>
    <mergeCell ref="M22:M23"/>
    <mergeCell ref="H20:H21"/>
    <mergeCell ref="I20:I21"/>
    <mergeCell ref="J20:J21"/>
    <mergeCell ref="K20:K21"/>
    <mergeCell ref="G18:G19"/>
    <mergeCell ref="H18:H19"/>
    <mergeCell ref="I18:I19"/>
    <mergeCell ref="J18:J19"/>
    <mergeCell ref="L20:L21"/>
    <mergeCell ref="I13:I14"/>
    <mergeCell ref="J13:J14"/>
    <mergeCell ref="K13:K14"/>
    <mergeCell ref="M13:M14"/>
    <mergeCell ref="C43:AU43"/>
    <mergeCell ref="AP4:AU4"/>
    <mergeCell ref="AP5:AP6"/>
    <mergeCell ref="AQ5:AQ6"/>
    <mergeCell ref="AR5:AR6"/>
    <mergeCell ref="AS5:AS6"/>
    <mergeCell ref="AT5:AT6"/>
    <mergeCell ref="AU5:AU6"/>
    <mergeCell ref="AF22:AF23"/>
    <mergeCell ref="AF26:AF27"/>
    <mergeCell ref="AF28:AF29"/>
    <mergeCell ref="AF30:AF31"/>
    <mergeCell ref="AF32:AF34"/>
    <mergeCell ref="O28:O29"/>
    <mergeCell ref="O36:O37"/>
    <mergeCell ref="L28:L29"/>
    <mergeCell ref="M28:M29"/>
    <mergeCell ref="N28:N29"/>
    <mergeCell ref="N24:N25"/>
    <mergeCell ref="I36:I37"/>
    <mergeCell ref="J36:J37"/>
    <mergeCell ref="D20:D21"/>
    <mergeCell ref="E20:E21"/>
    <mergeCell ref="N18:N19"/>
    <mergeCell ref="A1:AK2"/>
    <mergeCell ref="A4:H4"/>
    <mergeCell ref="I4:O4"/>
    <mergeCell ref="P4:X4"/>
    <mergeCell ref="Y4:AE4"/>
    <mergeCell ref="AF4:AK4"/>
    <mergeCell ref="N22:N23"/>
    <mergeCell ref="O22:O23"/>
    <mergeCell ref="G9:G10"/>
    <mergeCell ref="H9:H10"/>
    <mergeCell ref="A9:A10"/>
    <mergeCell ref="C9:C10"/>
    <mergeCell ref="D9:D10"/>
    <mergeCell ref="B7:B8"/>
    <mergeCell ref="B9:B10"/>
    <mergeCell ref="L9:L10"/>
    <mergeCell ref="M9:M10"/>
    <mergeCell ref="N9:N10"/>
    <mergeCell ref="O9:O10"/>
    <mergeCell ref="A13:A14"/>
    <mergeCell ref="C13:C14"/>
    <mergeCell ref="D13:D14"/>
    <mergeCell ref="A15:A17"/>
    <mergeCell ref="L22:L23"/>
    <mergeCell ref="A24:A25"/>
    <mergeCell ref="C24:C25"/>
    <mergeCell ref="D24:D25"/>
    <mergeCell ref="E24:E25"/>
    <mergeCell ref="F24:F25"/>
    <mergeCell ref="G24:G25"/>
    <mergeCell ref="H24:H25"/>
    <mergeCell ref="I24:I25"/>
    <mergeCell ref="J24:J25"/>
    <mergeCell ref="AF20:AF21"/>
    <mergeCell ref="O18:O19"/>
    <mergeCell ref="O20:O21"/>
    <mergeCell ref="C20:C21"/>
    <mergeCell ref="A5:A6"/>
    <mergeCell ref="G5:G6"/>
    <mergeCell ref="F5:F6"/>
    <mergeCell ref="E5:E6"/>
    <mergeCell ref="D5:D6"/>
    <mergeCell ref="I7:I8"/>
    <mergeCell ref="A18:A19"/>
    <mergeCell ref="C18:C19"/>
    <mergeCell ref="D18:D19"/>
    <mergeCell ref="E18:E19"/>
    <mergeCell ref="F18:F19"/>
    <mergeCell ref="A7:A8"/>
    <mergeCell ref="C7:C8"/>
    <mergeCell ref="D7:D8"/>
    <mergeCell ref="E7:E8"/>
    <mergeCell ref="F7:F8"/>
    <mergeCell ref="F9:F10"/>
    <mergeCell ref="F20:F21"/>
    <mergeCell ref="F15:F17"/>
    <mergeCell ref="G15:G17"/>
    <mergeCell ref="E13:E14"/>
    <mergeCell ref="F13:F14"/>
    <mergeCell ref="G13:G14"/>
    <mergeCell ref="B13:B14"/>
    <mergeCell ref="K24:K25"/>
    <mergeCell ref="L24:L25"/>
    <mergeCell ref="M24:M25"/>
    <mergeCell ref="N15:N17"/>
    <mergeCell ref="O15:O17"/>
    <mergeCell ref="I9:I10"/>
    <mergeCell ref="H15:H17"/>
    <mergeCell ref="I15:I17"/>
    <mergeCell ref="J15:J17"/>
    <mergeCell ref="E9:E10"/>
    <mergeCell ref="AB5:AB6"/>
    <mergeCell ref="B5:B6"/>
    <mergeCell ref="H5:H6"/>
    <mergeCell ref="I5:I6"/>
    <mergeCell ref="C5:C6"/>
    <mergeCell ref="Z5:Z6"/>
    <mergeCell ref="AA5:AA6"/>
    <mergeCell ref="S5:X5"/>
    <mergeCell ref="J5:J6"/>
    <mergeCell ref="M5:M6"/>
    <mergeCell ref="N5:N6"/>
    <mergeCell ref="O5:O6"/>
    <mergeCell ref="K5:K6"/>
    <mergeCell ref="R5:R6"/>
    <mergeCell ref="C15:C17"/>
    <mergeCell ref="D15:D17"/>
    <mergeCell ref="E15:E17"/>
    <mergeCell ref="AK5:AK6"/>
    <mergeCell ref="AJ5:AJ6"/>
    <mergeCell ref="AI5:AI6"/>
    <mergeCell ref="AH5:AH6"/>
    <mergeCell ref="AG5:AG6"/>
    <mergeCell ref="AF5:AF6"/>
    <mergeCell ref="J9:J10"/>
    <mergeCell ref="K9:K10"/>
    <mergeCell ref="N13:N14"/>
    <mergeCell ref="O13:O14"/>
    <mergeCell ref="O7:O8"/>
    <mergeCell ref="J7:J8"/>
    <mergeCell ref="K7:K8"/>
    <mergeCell ref="L7:L8"/>
    <mergeCell ref="M7:M8"/>
    <mergeCell ref="N7:N8"/>
    <mergeCell ref="L13:L14"/>
    <mergeCell ref="L5:L6"/>
    <mergeCell ref="AE5:AE6"/>
    <mergeCell ref="P5:P6"/>
    <mergeCell ref="AD5:AD6"/>
    <mergeCell ref="AC5:AC6"/>
    <mergeCell ref="Y5:Y6"/>
    <mergeCell ref="Q5:Q6"/>
    <mergeCell ref="G22:G23"/>
    <mergeCell ref="K28:K29"/>
    <mergeCell ref="B24:B25"/>
    <mergeCell ref="B38:B39"/>
    <mergeCell ref="K36:K37"/>
    <mergeCell ref="L36:L37"/>
    <mergeCell ref="M36:M37"/>
    <mergeCell ref="N36:N37"/>
    <mergeCell ref="K26:K27"/>
    <mergeCell ref="L26:L27"/>
    <mergeCell ref="M26:M27"/>
    <mergeCell ref="N26:N27"/>
    <mergeCell ref="E26:E27"/>
    <mergeCell ref="D26:D27"/>
    <mergeCell ref="C26:C27"/>
    <mergeCell ref="B26:B27"/>
    <mergeCell ref="H28:H29"/>
    <mergeCell ref="G28:G29"/>
    <mergeCell ref="F28:F29"/>
    <mergeCell ref="E28:E29"/>
    <mergeCell ref="D28:D29"/>
    <mergeCell ref="C28:C29"/>
    <mergeCell ref="B28:B29"/>
    <mergeCell ref="H36:H37"/>
    <mergeCell ref="K40:K41"/>
    <mergeCell ref="G7:G8"/>
    <mergeCell ref="H7:H8"/>
    <mergeCell ref="A20:A21"/>
    <mergeCell ref="I26:I27"/>
    <mergeCell ref="J26:J27"/>
    <mergeCell ref="G26:G27"/>
    <mergeCell ref="D38:D39"/>
    <mergeCell ref="C38:C39"/>
    <mergeCell ref="I40:I41"/>
    <mergeCell ref="J40:J41"/>
    <mergeCell ref="F36:F37"/>
    <mergeCell ref="G36:G37"/>
    <mergeCell ref="I38:I39"/>
    <mergeCell ref="H38:H39"/>
    <mergeCell ref="G38:G39"/>
    <mergeCell ref="I28:I29"/>
    <mergeCell ref="J28:J29"/>
    <mergeCell ref="H26:H27"/>
    <mergeCell ref="B20:B21"/>
    <mergeCell ref="G20:G21"/>
    <mergeCell ref="A22:A23"/>
    <mergeCell ref="E22:E23"/>
    <mergeCell ref="F22:F23"/>
    <mergeCell ref="L40:L41"/>
    <mergeCell ref="H22:H23"/>
    <mergeCell ref="I22:I23"/>
    <mergeCell ref="AF40:AF41"/>
    <mergeCell ref="A38:A39"/>
    <mergeCell ref="A40:A41"/>
    <mergeCell ref="B40:B41"/>
    <mergeCell ref="C40:C41"/>
    <mergeCell ref="D40:D41"/>
    <mergeCell ref="E40:E41"/>
    <mergeCell ref="F40:F41"/>
    <mergeCell ref="G40:G41"/>
    <mergeCell ref="H40:H41"/>
    <mergeCell ref="N38:N39"/>
    <mergeCell ref="O38:O39"/>
    <mergeCell ref="M40:M41"/>
    <mergeCell ref="M38:M39"/>
    <mergeCell ref="L38:L39"/>
    <mergeCell ref="K38:K39"/>
    <mergeCell ref="J38:J39"/>
    <mergeCell ref="N40:N41"/>
    <mergeCell ref="F38:F39"/>
    <mergeCell ref="E38:E39"/>
    <mergeCell ref="O40:O41"/>
  </mergeCells>
  <conditionalFormatting sqref="I7 I9 I30:I36 I38 I42">
    <cfRule type="cellIs" dxfId="85" priority="388" operator="equal">
      <formula>"Alta"</formula>
    </cfRule>
    <cfRule type="cellIs" dxfId="84" priority="387" operator="equal">
      <formula>"Muy Alta"</formula>
    </cfRule>
    <cfRule type="cellIs" dxfId="83" priority="391" operator="equal">
      <formula>"Muy Baja"</formula>
    </cfRule>
    <cfRule type="cellIs" dxfId="82" priority="390" operator="equal">
      <formula>"Baja"</formula>
    </cfRule>
    <cfRule type="cellIs" dxfId="81" priority="389" operator="equal">
      <formula>"Media"</formula>
    </cfRule>
  </conditionalFormatting>
  <conditionalFormatting sqref="I11:I13">
    <cfRule type="cellIs" dxfId="80" priority="237" operator="equal">
      <formula>"Muy Baja"</formula>
    </cfRule>
    <cfRule type="cellIs" dxfId="79" priority="236" operator="equal">
      <formula>"Baja"</formula>
    </cfRule>
    <cfRule type="cellIs" dxfId="78" priority="235" operator="equal">
      <formula>"Media"</formula>
    </cfRule>
    <cfRule type="cellIs" dxfId="77" priority="234" operator="equal">
      <formula>"Alta"</formula>
    </cfRule>
    <cfRule type="cellIs" dxfId="76" priority="233" operator="equal">
      <formula>"Muy Alta"</formula>
    </cfRule>
  </conditionalFormatting>
  <conditionalFormatting sqref="I15">
    <cfRule type="cellIs" dxfId="75" priority="205" operator="equal">
      <formula>"Muy Alta"</formula>
    </cfRule>
    <cfRule type="cellIs" dxfId="74" priority="208" operator="equal">
      <formula>"Baja"</formula>
    </cfRule>
    <cfRule type="cellIs" dxfId="73" priority="207" operator="equal">
      <formula>"Media"</formula>
    </cfRule>
    <cfRule type="cellIs" dxfId="72" priority="206" operator="equal">
      <formula>"Alta"</formula>
    </cfRule>
    <cfRule type="cellIs" dxfId="71" priority="209" operator="equal">
      <formula>"Muy Baja"</formula>
    </cfRule>
  </conditionalFormatting>
  <conditionalFormatting sqref="I18">
    <cfRule type="cellIs" dxfId="70" priority="181" operator="equal">
      <formula>"Muy Baja"</formula>
    </cfRule>
    <cfRule type="cellIs" dxfId="69" priority="180" operator="equal">
      <formula>"Baja"</formula>
    </cfRule>
    <cfRule type="cellIs" dxfId="68" priority="179" operator="equal">
      <formula>"Media"</formula>
    </cfRule>
    <cfRule type="cellIs" dxfId="67" priority="178" operator="equal">
      <formula>"Alta"</formula>
    </cfRule>
    <cfRule type="cellIs" dxfId="66" priority="177" operator="equal">
      <formula>"Muy Alta"</formula>
    </cfRule>
  </conditionalFormatting>
  <conditionalFormatting sqref="I20">
    <cfRule type="cellIs" dxfId="65" priority="150" operator="equal">
      <formula>"Alta"</formula>
    </cfRule>
    <cfRule type="cellIs" dxfId="64" priority="151" operator="equal">
      <formula>"Media"</formula>
    </cfRule>
    <cfRule type="cellIs" dxfId="63" priority="152" operator="equal">
      <formula>"Baja"</formula>
    </cfRule>
    <cfRule type="cellIs" dxfId="62" priority="153" operator="equal">
      <formula>"Muy Baja"</formula>
    </cfRule>
    <cfRule type="cellIs" dxfId="61" priority="149" operator="equal">
      <formula>"Muy Alta"</formula>
    </cfRule>
  </conditionalFormatting>
  <conditionalFormatting sqref="I22">
    <cfRule type="cellIs" dxfId="60" priority="124" operator="equal">
      <formula>"Baja"</formula>
    </cfRule>
    <cfRule type="cellIs" dxfId="59" priority="125" operator="equal">
      <formula>"Muy Baja"</formula>
    </cfRule>
    <cfRule type="cellIs" dxfId="58" priority="123" operator="equal">
      <formula>"Media"</formula>
    </cfRule>
    <cfRule type="cellIs" dxfId="57" priority="122" operator="equal">
      <formula>"Alta"</formula>
    </cfRule>
    <cfRule type="cellIs" dxfId="56" priority="121" operator="equal">
      <formula>"Muy Alta"</formula>
    </cfRule>
  </conditionalFormatting>
  <conditionalFormatting sqref="I24 I26 I28">
    <cfRule type="cellIs" dxfId="55" priority="94" operator="equal">
      <formula>"Alta"</formula>
    </cfRule>
    <cfRule type="cellIs" dxfId="54" priority="95" operator="equal">
      <formula>"Media"</formula>
    </cfRule>
    <cfRule type="cellIs" dxfId="53" priority="96" operator="equal">
      <formula>"Baja"</formula>
    </cfRule>
    <cfRule type="cellIs" dxfId="52" priority="97" operator="equal">
      <formula>"Muy Baja"</formula>
    </cfRule>
    <cfRule type="cellIs" dxfId="51" priority="93" operator="equal">
      <formula>"Muy Alta"</formula>
    </cfRule>
  </conditionalFormatting>
  <conditionalFormatting sqref="I40">
    <cfRule type="cellIs" dxfId="50" priority="40" operator="equal">
      <formula>"Muy Baja"</formula>
    </cfRule>
    <cfRule type="cellIs" dxfId="49" priority="39" operator="equal">
      <formula>"Baja"</formula>
    </cfRule>
    <cfRule type="cellIs" dxfId="48" priority="37" operator="equal">
      <formula>"Alta"</formula>
    </cfRule>
    <cfRule type="cellIs" dxfId="47" priority="36" operator="equal">
      <formula>"Muy Alta"</formula>
    </cfRule>
    <cfRule type="cellIs" dxfId="46" priority="38" operator="equal">
      <formula>"Media"</formula>
    </cfRule>
  </conditionalFormatting>
  <conditionalFormatting sqref="L7:L36 L38 L40:L42">
    <cfRule type="containsText" dxfId="45" priority="69" operator="containsText" text="❌">
      <formula>NOT(ISERROR(SEARCH("❌",L7)))</formula>
    </cfRule>
  </conditionalFormatting>
  <conditionalFormatting sqref="M7 M9 M11:M13 M15 M18 M20 M22 M24 M26 M28 M38 M42">
    <cfRule type="cellIs" dxfId="44" priority="382" operator="equal">
      <formula>"Catastrófico"</formula>
    </cfRule>
    <cfRule type="cellIs" dxfId="43" priority="384" operator="equal">
      <formula>"Moderado"</formula>
    </cfRule>
    <cfRule type="cellIs" dxfId="42" priority="385" operator="equal">
      <formula>"Menor"</formula>
    </cfRule>
    <cfRule type="cellIs" dxfId="41" priority="386" operator="equal">
      <formula>"Leve"</formula>
    </cfRule>
    <cfRule type="cellIs" dxfId="40" priority="383" operator="equal">
      <formula>"Mayor"</formula>
    </cfRule>
  </conditionalFormatting>
  <conditionalFormatting sqref="M30:M36">
    <cfRule type="cellIs" dxfId="39" priority="53" operator="equal">
      <formula>"Menor"</formula>
    </cfRule>
    <cfRule type="cellIs" dxfId="38" priority="52" operator="equal">
      <formula>"Moderado"</formula>
    </cfRule>
    <cfRule type="cellIs" dxfId="37" priority="50" operator="equal">
      <formula>"Catastrófico"</formula>
    </cfRule>
    <cfRule type="cellIs" dxfId="36" priority="51" operator="equal">
      <formula>"Mayor"</formula>
    </cfRule>
    <cfRule type="cellIs" dxfId="35" priority="54" operator="equal">
      <formula>"Leve"</formula>
    </cfRule>
  </conditionalFormatting>
  <conditionalFormatting sqref="M40">
    <cfRule type="cellIs" dxfId="34" priority="35" operator="equal">
      <formula>"Leve"</formula>
    </cfRule>
    <cfRule type="cellIs" dxfId="33" priority="34" operator="equal">
      <formula>"Menor"</formula>
    </cfRule>
    <cfRule type="cellIs" dxfId="32" priority="33" operator="equal">
      <formula>"Moderado"</formula>
    </cfRule>
    <cfRule type="cellIs" dxfId="31" priority="32" operator="equal">
      <formula>"Mayor"</formula>
    </cfRule>
    <cfRule type="cellIs" dxfId="30" priority="31" operator="equal">
      <formula>"Catastrófico"</formula>
    </cfRule>
  </conditionalFormatting>
  <conditionalFormatting sqref="O7 O9">
    <cfRule type="cellIs" dxfId="29" priority="308" operator="equal">
      <formula>"Extremo"</formula>
    </cfRule>
    <cfRule type="cellIs" dxfId="28" priority="309" operator="equal">
      <formula>"Alto"</formula>
    </cfRule>
    <cfRule type="cellIs" dxfId="27" priority="310" operator="equal">
      <formula>"Moderado"</formula>
    </cfRule>
    <cfRule type="cellIs" dxfId="26" priority="311" operator="equal">
      <formula>"Bajo"</formula>
    </cfRule>
  </conditionalFormatting>
  <conditionalFormatting sqref="O11:O40">
    <cfRule type="cellIs" dxfId="25" priority="2" operator="equal">
      <formula>"Alto"</formula>
    </cfRule>
    <cfRule type="cellIs" dxfId="24" priority="3" operator="equal">
      <formula>"Moderado"</formula>
    </cfRule>
    <cfRule type="cellIs" dxfId="23" priority="4" operator="equal">
      <formula>"Bajo"</formula>
    </cfRule>
    <cfRule type="cellIs" dxfId="22" priority="1" operator="equal">
      <formula>"Extremo"</formula>
    </cfRule>
  </conditionalFormatting>
  <conditionalFormatting sqref="O42">
    <cfRule type="cellIs" dxfId="21" priority="378" operator="equal">
      <formula>"Extremo"</formula>
    </cfRule>
    <cfRule type="cellIs" dxfId="20" priority="379" operator="equal">
      <formula>"Alto"</formula>
    </cfRule>
    <cfRule type="cellIs" dxfId="19" priority="380" operator="equal">
      <formula>"Moderado"</formula>
    </cfRule>
    <cfRule type="cellIs" dxfId="18" priority="381" operator="equal">
      <formula>"Bajo"</formula>
    </cfRule>
  </conditionalFormatting>
  <conditionalFormatting sqref="Z7:Z42">
    <cfRule type="cellIs" dxfId="17" priority="24" operator="equal">
      <formula>"Media"</formula>
    </cfRule>
    <cfRule type="cellIs" dxfId="16" priority="23" operator="equal">
      <formula>"Alta"</formula>
    </cfRule>
    <cfRule type="cellIs" dxfId="15" priority="22" operator="equal">
      <formula>"Muy Alta"</formula>
    </cfRule>
    <cfRule type="cellIs" dxfId="14" priority="26" operator="equal">
      <formula>"Muy Baja"</formula>
    </cfRule>
    <cfRule type="cellIs" dxfId="13" priority="25" operator="equal">
      <formula>"Baja"</formula>
    </cfRule>
  </conditionalFormatting>
  <conditionalFormatting sqref="AB7:AB42">
    <cfRule type="cellIs" dxfId="12" priority="299" operator="equal">
      <formula>"Mayor"</formula>
    </cfRule>
    <cfRule type="cellIs" dxfId="11" priority="301" operator="equal">
      <formula>"Menor"</formula>
    </cfRule>
    <cfRule type="cellIs" dxfId="10" priority="302" operator="equal">
      <formula>"Leve"</formula>
    </cfRule>
    <cfRule type="cellIs" dxfId="9" priority="298" operator="equal">
      <formula>"Catastrófico"</formula>
    </cfRule>
    <cfRule type="cellIs" dxfId="8" priority="300" operator="equal">
      <formula>"Moderado"</formula>
    </cfRule>
  </conditionalFormatting>
  <conditionalFormatting sqref="AD7:AD42">
    <cfRule type="cellIs" dxfId="7" priority="294" operator="equal">
      <formula>"Extremo"</formula>
    </cfRule>
    <cfRule type="cellIs" dxfId="6" priority="295" operator="equal">
      <formula>"Alto"</formula>
    </cfRule>
    <cfRule type="cellIs" dxfId="5" priority="296" operator="equal">
      <formula>"Moderado"</formula>
    </cfRule>
    <cfRule type="cellIs" dxfId="4" priority="297" operator="equal">
      <formula>"Bajo"</formula>
    </cfRule>
  </conditionalFormatting>
  <pageMargins left="0.25" right="0.25" top="0.75" bottom="0.75" header="0.3" footer="0.3"/>
  <pageSetup fitToWidth="0"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4000000}">
          <x14:formula1>
            <xm:f>'Opciones Tratamiento'!$B$9:$B$10</xm:f>
          </x14:formula1>
          <xm:sqref>AK7:AK16 AK18:AK42</xm:sqref>
        </x14:dataValidation>
        <x14:dataValidation type="list" allowBlank="1" showInputMessage="1" showErrorMessage="1" xr:uid="{00000000-0002-0000-0100-000006000000}">
          <x14:formula1>
            <xm:f>'Opciones Tratamiento'!$B$13:$B$19</xm:f>
          </x14:formula1>
          <xm:sqref>G7:G26 G28 G30:G36 G38 G40:G42</xm:sqref>
        </x14:dataValidation>
        <x14:dataValidation type="list" allowBlank="1" showInputMessage="1" showErrorMessage="1" xr:uid="{00000000-0002-0000-0100-000007000000}">
          <x14:formula1>
            <xm:f>'Opciones Tratamiento'!$E$2:$E$4</xm:f>
          </x14:formula1>
          <xm:sqref>C7:C26 C28 C30:C36 C38 C40:C42</xm:sqref>
        </x14:dataValidation>
        <x14:dataValidation type="list" allowBlank="1" showInputMessage="1" showErrorMessage="1" xr:uid="{00000000-0002-0000-0100-000009000000}">
          <x14:formula1>
            <xm:f>'Tabla Impacto'!$F$210:$F$221</xm:f>
          </x14:formula1>
          <xm:sqref>K7:K36 K38 K40:K42</xm:sqref>
        </x14:dataValidation>
        <x14:dataValidation type="list" allowBlank="1" showInputMessage="1" showErrorMessage="1" xr:uid="{00000000-0002-0000-0100-000000000000}">
          <x14:formula1>
            <xm:f>'Tabla Valoración controles'!$D$4:$D$6</xm:f>
          </x14:formula1>
          <xm:sqref>S7:S42</xm:sqref>
        </x14:dataValidation>
        <x14:dataValidation type="list" allowBlank="1" showInputMessage="1" showErrorMessage="1" xr:uid="{00000000-0002-0000-0100-000001000000}">
          <x14:formula1>
            <xm:f>'Tabla Valoración controles'!$D$7:$D$8</xm:f>
          </x14:formula1>
          <xm:sqref>T7:T42</xm:sqref>
        </x14:dataValidation>
        <x14:dataValidation type="list" allowBlank="1" showInputMessage="1" showErrorMessage="1" xr:uid="{00000000-0002-0000-0100-000002000000}">
          <x14:formula1>
            <xm:f>'Tabla Valoración controles'!$D$9:$D$10</xm:f>
          </x14:formula1>
          <xm:sqref>V7:V42</xm:sqref>
        </x14:dataValidation>
        <x14:dataValidation type="list" allowBlank="1" showInputMessage="1" showErrorMessage="1" xr:uid="{00000000-0002-0000-0100-000003000000}">
          <x14:formula1>
            <xm:f>'Tabla Valoración controles'!$D$11:$D$12</xm:f>
          </x14:formula1>
          <xm:sqref>W7:W42</xm:sqref>
        </x14:dataValidation>
        <x14:dataValidation type="list" allowBlank="1" showInputMessage="1" showErrorMessage="1" xr:uid="{00000000-0002-0000-0100-000005000000}">
          <x14:formula1>
            <xm:f>'Tabla Valoración controles'!$D$13:$D$14</xm:f>
          </x14:formula1>
          <xm:sqref>X7:X42</xm:sqref>
        </x14:dataValidation>
        <x14:dataValidation type="list" allowBlank="1" showInputMessage="1" showErrorMessage="1" xr:uid="{00000000-0002-0000-0100-000008000000}">
          <x14:formula1>
            <xm:f>'Opciones Tratamiento'!$B$2:$B$5</xm:f>
          </x14:formula1>
          <xm:sqref>AE7:AE42 AL7:AL42</xm:sqref>
        </x14:dataValidation>
        <x14:dataValidation type="custom" allowBlank="1" showInputMessage="1" showErrorMessage="1" error="Recuerde que las acciones se generan bajo la medida de mitigar el riesgo" xr:uid="{00000000-0002-0000-0100-00000B000000}">
          <x14:formula1>
            <xm:f>IF(OR(AE7='Opciones Tratamiento'!$B$2,AE7='Opciones Tratamiento'!$B$3,AE7='Opciones Tratamiento'!$B$4),ISBLANK(AE7),ISTEXT(AE7))</xm:f>
          </x14:formula1>
          <xm:sqref>AG7:AG42</xm:sqref>
        </x14:dataValidation>
        <x14:dataValidation type="custom" allowBlank="1" showInputMessage="1" showErrorMessage="1" error="Recuerde que las acciones se generan bajo la medida de mitigar el riesgo" xr:uid="{00000000-0002-0000-0100-00000C000000}">
          <x14:formula1>
            <xm:f>IF(OR(AE7='Opciones Tratamiento'!$B$2,AE7='Opciones Tratamiento'!$B$3,AE7='Opciones Tratamiento'!$B$4),ISBLANK(AE7),ISTEXT(AE7))</xm:f>
          </x14:formula1>
          <xm:sqref>AH7:AH42</xm:sqref>
        </x14:dataValidation>
        <x14:dataValidation type="custom" allowBlank="1" showInputMessage="1" showErrorMessage="1" error="Recuerde que las acciones se generan bajo la medida de mitigar el riesgo" xr:uid="{00000000-0002-0000-0100-00000D000000}">
          <x14:formula1>
            <xm:f>IF(OR(AE7='Opciones Tratamiento'!$B$2,AE7='Opciones Tratamiento'!$B$3,AE7='Opciones Tratamiento'!$B$4),ISBLANK(AE7),ISTEXT(AE7))</xm:f>
          </x14:formula1>
          <xm:sqref>AI7:AI42</xm:sqref>
        </x14:dataValidation>
        <x14:dataValidation type="custom" allowBlank="1" showInputMessage="1" showErrorMessage="1" error="Recuerde que las acciones se generan bajo la medida de mitigar el riesgo" xr:uid="{00000000-0002-0000-0100-00000E000000}">
          <x14:formula1>
            <xm:f>IF(OR(AE7='Opciones Tratamiento'!$B$2,AE7='Opciones Tratamiento'!$B$3,AE7='Opciones Tratamiento'!$B$4),ISBLANK(AE7),ISTEXT(AE7))</xm:f>
          </x14:formula1>
          <xm:sqref>AJ7:AJ42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289" t="s">
        <v>157</v>
      </c>
      <c r="C2" s="289"/>
      <c r="D2" s="289"/>
      <c r="E2" s="289"/>
      <c r="F2" s="289"/>
      <c r="G2" s="289"/>
      <c r="H2" s="289"/>
      <c r="I2" s="289"/>
      <c r="J2" s="326" t="s">
        <v>2</v>
      </c>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289"/>
      <c r="C3" s="289"/>
      <c r="D3" s="289"/>
      <c r="E3" s="289"/>
      <c r="F3" s="289"/>
      <c r="G3" s="289"/>
      <c r="H3" s="289"/>
      <c r="I3" s="289"/>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289"/>
      <c r="C4" s="289"/>
      <c r="D4" s="289"/>
      <c r="E4" s="289"/>
      <c r="F4" s="289"/>
      <c r="G4" s="289"/>
      <c r="H4" s="289"/>
      <c r="I4" s="289"/>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337" t="s">
        <v>4</v>
      </c>
      <c r="C6" s="337"/>
      <c r="D6" s="338"/>
      <c r="E6" s="327" t="s">
        <v>114</v>
      </c>
      <c r="F6" s="328"/>
      <c r="G6" s="328"/>
      <c r="H6" s="328"/>
      <c r="I6" s="329"/>
      <c r="J6" s="323" t="str">
        <f>IF(AND('Mapa final'!$I$7="Muy Alta",'Mapa final'!$M$7="Leve"),CONCATENATE("R",'Mapa final'!$A$7),"")</f>
        <v/>
      </c>
      <c r="K6" s="324"/>
      <c r="L6" s="324" t="str">
        <f>IF(AND('Mapa final'!$I$9="Muy Alta",'Mapa final'!$M$9="Leve"),CONCATENATE("R",'Mapa final'!$A$9),"")</f>
        <v/>
      </c>
      <c r="M6" s="324"/>
      <c r="N6" s="324" t="str">
        <f>IF(AND('Mapa final'!$I$11="Muy Alta",'Mapa final'!$M$11="Leve"),CONCATENATE("R",'Mapa final'!$A$11),"")</f>
        <v/>
      </c>
      <c r="O6" s="325"/>
      <c r="P6" s="323" t="str">
        <f>IF(AND('Mapa final'!$I$7="Muy Alta",'Mapa final'!$M$7="Menor"),CONCATENATE("R",'Mapa final'!$A$7),"")</f>
        <v/>
      </c>
      <c r="Q6" s="324"/>
      <c r="R6" s="324" t="str">
        <f>IF(AND('Mapa final'!$I$9="Muy Alta",'Mapa final'!$M$9="Menor"),CONCATENATE("R",'Mapa final'!$A$9),"")</f>
        <v/>
      </c>
      <c r="S6" s="324"/>
      <c r="T6" s="324" t="str">
        <f>IF(AND('Mapa final'!$I$11="Muy Alta",'Mapa final'!$M$11="Menor"),CONCATENATE("R",'Mapa final'!$A$11),"")</f>
        <v/>
      </c>
      <c r="U6" s="325"/>
      <c r="V6" s="323" t="str">
        <f>IF(AND('Mapa final'!$I$7="Muy Alta",'Mapa final'!$M$7="Moderado"),CONCATENATE("R",'Mapa final'!$A$7),"")</f>
        <v/>
      </c>
      <c r="W6" s="324"/>
      <c r="X6" s="324" t="str">
        <f>IF(AND('Mapa final'!$I$9="Muy Alta",'Mapa final'!$M$9="Moderado"),CONCATENATE("R",'Mapa final'!$A$9),"")</f>
        <v/>
      </c>
      <c r="Y6" s="324"/>
      <c r="Z6" s="324" t="str">
        <f>IF(AND('Mapa final'!$I$11="Muy Alta",'Mapa final'!$M$11="Moderado"),CONCATENATE("R",'Mapa final'!$A$11),"")</f>
        <v/>
      </c>
      <c r="AA6" s="325"/>
      <c r="AB6" s="323" t="str">
        <f>IF(AND('Mapa final'!$I$7="Muy Alta",'Mapa final'!$M$7="Mayor"),CONCATENATE("R",'Mapa final'!$A$7),"")</f>
        <v/>
      </c>
      <c r="AC6" s="324"/>
      <c r="AD6" s="324" t="str">
        <f>IF(AND('Mapa final'!$I$9="Muy Alta",'Mapa final'!$M$9="Mayor"),CONCATENATE("R",'Mapa final'!$A$9),"")</f>
        <v/>
      </c>
      <c r="AE6" s="324"/>
      <c r="AF6" s="324" t="str">
        <f>IF(AND('Mapa final'!$I$11="Muy Alta",'Mapa final'!$M$11="Mayor"),CONCATENATE("R",'Mapa final'!$A$11),"")</f>
        <v/>
      </c>
      <c r="AG6" s="325"/>
      <c r="AH6" s="314" t="str">
        <f>IF(AND('Mapa final'!$I$7="Muy Alta",'Mapa final'!$M$7="Catastrófico"),CONCATENATE("R",'Mapa final'!$A$7),"")</f>
        <v/>
      </c>
      <c r="AI6" s="315"/>
      <c r="AJ6" s="315" t="str">
        <f>IF(AND('Mapa final'!$I$9="Muy Alta",'Mapa final'!$M$9="Catastrófico"),CONCATENATE("R",'Mapa final'!$A$9),"")</f>
        <v/>
      </c>
      <c r="AK6" s="315"/>
      <c r="AL6" s="315" t="str">
        <f>IF(AND('Mapa final'!$I$11="Muy Alta",'Mapa final'!$M$11="Catastrófico"),CONCATENATE("R",'Mapa final'!$A$11),"")</f>
        <v/>
      </c>
      <c r="AM6" s="316"/>
      <c r="AO6" s="339" t="s">
        <v>77</v>
      </c>
      <c r="AP6" s="340"/>
      <c r="AQ6" s="340"/>
      <c r="AR6" s="340"/>
      <c r="AS6" s="340"/>
      <c r="AT6" s="34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337"/>
      <c r="C7" s="337"/>
      <c r="D7" s="338"/>
      <c r="E7" s="330"/>
      <c r="F7" s="331"/>
      <c r="G7" s="331"/>
      <c r="H7" s="331"/>
      <c r="I7" s="332"/>
      <c r="J7" s="317"/>
      <c r="K7" s="318"/>
      <c r="L7" s="318"/>
      <c r="M7" s="318"/>
      <c r="N7" s="318"/>
      <c r="O7" s="319"/>
      <c r="P7" s="317"/>
      <c r="Q7" s="318"/>
      <c r="R7" s="318"/>
      <c r="S7" s="318"/>
      <c r="T7" s="318"/>
      <c r="U7" s="319"/>
      <c r="V7" s="317"/>
      <c r="W7" s="318"/>
      <c r="X7" s="318"/>
      <c r="Y7" s="318"/>
      <c r="Z7" s="318"/>
      <c r="AA7" s="319"/>
      <c r="AB7" s="317"/>
      <c r="AC7" s="318"/>
      <c r="AD7" s="318"/>
      <c r="AE7" s="318"/>
      <c r="AF7" s="318"/>
      <c r="AG7" s="319"/>
      <c r="AH7" s="308"/>
      <c r="AI7" s="309"/>
      <c r="AJ7" s="309"/>
      <c r="AK7" s="309"/>
      <c r="AL7" s="309"/>
      <c r="AM7" s="310"/>
      <c r="AN7" s="81"/>
      <c r="AO7" s="342"/>
      <c r="AP7" s="343"/>
      <c r="AQ7" s="343"/>
      <c r="AR7" s="343"/>
      <c r="AS7" s="343"/>
      <c r="AT7" s="344"/>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337"/>
      <c r="C8" s="337"/>
      <c r="D8" s="338"/>
      <c r="E8" s="330"/>
      <c r="F8" s="331"/>
      <c r="G8" s="331"/>
      <c r="H8" s="331"/>
      <c r="I8" s="332"/>
      <c r="J8" s="317" t="str">
        <f>IF(AND('Mapa final'!$I$12="Muy Alta",'Mapa final'!$M$12="Leve"),CONCATENATE("R",'Mapa final'!$A$12),"")</f>
        <v/>
      </c>
      <c r="K8" s="318"/>
      <c r="L8" s="318" t="str">
        <f>IF(AND('Mapa final'!$I$13="Muy Alta",'Mapa final'!$M$13="Leve"),CONCATENATE("R",'Mapa final'!$A$13),"")</f>
        <v/>
      </c>
      <c r="M8" s="318"/>
      <c r="N8" s="318" t="str">
        <f>IF(AND('Mapa final'!$I$15="Muy Alta",'Mapa final'!$M$15="Leve"),CONCATENATE("R",'Mapa final'!$A$15),"")</f>
        <v/>
      </c>
      <c r="O8" s="319"/>
      <c r="P8" s="317" t="str">
        <f>IF(AND('Mapa final'!$I$12="Muy Alta",'Mapa final'!$M$12="Menor"),CONCATENATE("R",'Mapa final'!$A$12),"")</f>
        <v/>
      </c>
      <c r="Q8" s="318"/>
      <c r="R8" s="318" t="str">
        <f>IF(AND('Mapa final'!$I$13="Muy Alta",'Mapa final'!$M$13="Menor"),CONCATENATE("R",'Mapa final'!$A$13),"")</f>
        <v/>
      </c>
      <c r="S8" s="318"/>
      <c r="T8" s="318" t="str">
        <f>IF(AND('Mapa final'!$I$15="Muy Alta",'Mapa final'!$M$15="Menor"),CONCATENATE("R",'Mapa final'!$A$15),"")</f>
        <v/>
      </c>
      <c r="U8" s="319"/>
      <c r="V8" s="317" t="str">
        <f>IF(AND('Mapa final'!$I$12="Muy Alta",'Mapa final'!$M$12="Moderado"),CONCATENATE("R",'Mapa final'!$A$12),"")</f>
        <v/>
      </c>
      <c r="W8" s="318"/>
      <c r="X8" s="318" t="str">
        <f>IF(AND('Mapa final'!$I$13="Muy Alta",'Mapa final'!$M$13="Moderado"),CONCATENATE("R",'Mapa final'!$A$13),"")</f>
        <v/>
      </c>
      <c r="Y8" s="318"/>
      <c r="Z8" s="318" t="str">
        <f>IF(AND('Mapa final'!$I$15="Muy Alta",'Mapa final'!$M$15="Moderado"),CONCATENATE("R",'Mapa final'!$A$15),"")</f>
        <v/>
      </c>
      <c r="AA8" s="319"/>
      <c r="AB8" s="317" t="str">
        <f>IF(AND('Mapa final'!$I$12="Muy Alta",'Mapa final'!$M$12="Mayor"),CONCATENATE("R",'Mapa final'!$A$12),"")</f>
        <v/>
      </c>
      <c r="AC8" s="318"/>
      <c r="AD8" s="318" t="str">
        <f>IF(AND('Mapa final'!$I$13="Muy Alta",'Mapa final'!$M$13="Mayor"),CONCATENATE("R",'Mapa final'!$A$13),"")</f>
        <v/>
      </c>
      <c r="AE8" s="318"/>
      <c r="AF8" s="318" t="str">
        <f>IF(AND('Mapa final'!$I$15="Muy Alta",'Mapa final'!$M$15="Mayor"),CONCATENATE("R",'Mapa final'!$A$15),"")</f>
        <v/>
      </c>
      <c r="AG8" s="319"/>
      <c r="AH8" s="308" t="str">
        <f>IF(AND('Mapa final'!$I$12="Muy Alta",'Mapa final'!$M$12="Catastrófico"),CONCATENATE("R",'Mapa final'!$A$12),"")</f>
        <v/>
      </c>
      <c r="AI8" s="309"/>
      <c r="AJ8" s="309" t="str">
        <f>IF(AND('Mapa final'!$I$13="Muy Alta",'Mapa final'!$M$13="Catastrófico"),CONCATENATE("R",'Mapa final'!$A$13),"")</f>
        <v/>
      </c>
      <c r="AK8" s="309"/>
      <c r="AL8" s="309" t="str">
        <f>IF(AND('Mapa final'!$I$15="Muy Alta",'Mapa final'!$M$15="Catastrófico"),CONCATENATE("R",'Mapa final'!$A$15),"")</f>
        <v/>
      </c>
      <c r="AM8" s="310"/>
      <c r="AN8" s="81"/>
      <c r="AO8" s="342"/>
      <c r="AP8" s="343"/>
      <c r="AQ8" s="343"/>
      <c r="AR8" s="343"/>
      <c r="AS8" s="343"/>
      <c r="AT8" s="344"/>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337"/>
      <c r="C9" s="337"/>
      <c r="D9" s="338"/>
      <c r="E9" s="330"/>
      <c r="F9" s="331"/>
      <c r="G9" s="331"/>
      <c r="H9" s="331"/>
      <c r="I9" s="332"/>
      <c r="J9" s="317"/>
      <c r="K9" s="318"/>
      <c r="L9" s="318"/>
      <c r="M9" s="318"/>
      <c r="N9" s="318"/>
      <c r="O9" s="319"/>
      <c r="P9" s="317"/>
      <c r="Q9" s="318"/>
      <c r="R9" s="318"/>
      <c r="S9" s="318"/>
      <c r="T9" s="318"/>
      <c r="U9" s="319"/>
      <c r="V9" s="317"/>
      <c r="W9" s="318"/>
      <c r="X9" s="318"/>
      <c r="Y9" s="318"/>
      <c r="Z9" s="318"/>
      <c r="AA9" s="319"/>
      <c r="AB9" s="317"/>
      <c r="AC9" s="318"/>
      <c r="AD9" s="318"/>
      <c r="AE9" s="318"/>
      <c r="AF9" s="318"/>
      <c r="AG9" s="319"/>
      <c r="AH9" s="308"/>
      <c r="AI9" s="309"/>
      <c r="AJ9" s="309"/>
      <c r="AK9" s="309"/>
      <c r="AL9" s="309"/>
      <c r="AM9" s="310"/>
      <c r="AN9" s="81"/>
      <c r="AO9" s="342"/>
      <c r="AP9" s="343"/>
      <c r="AQ9" s="343"/>
      <c r="AR9" s="343"/>
      <c r="AS9" s="343"/>
      <c r="AT9" s="344"/>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337"/>
      <c r="C10" s="337"/>
      <c r="D10" s="338"/>
      <c r="E10" s="330"/>
      <c r="F10" s="331"/>
      <c r="G10" s="331"/>
      <c r="H10" s="331"/>
      <c r="I10" s="332"/>
      <c r="J10" s="317" t="str">
        <f>IF(AND('Mapa final'!$I$18="Muy Alta",'Mapa final'!$M$18="Leve"),CONCATENATE("R",'Mapa final'!$A$18),"")</f>
        <v/>
      </c>
      <c r="K10" s="318"/>
      <c r="L10" s="318" t="str">
        <f>IF(AND('Mapa final'!$I$20="Muy Alta",'Mapa final'!$M$20="Leve"),CONCATENATE("R",'Mapa final'!$A$20),"")</f>
        <v/>
      </c>
      <c r="M10" s="318"/>
      <c r="N10" s="318" t="str">
        <f>IF(AND('Mapa final'!$I$22="Muy Alta",'Mapa final'!$M$22="Leve"),CONCATENATE("R",'Mapa final'!$A$22),"")</f>
        <v/>
      </c>
      <c r="O10" s="319"/>
      <c r="P10" s="317" t="str">
        <f>IF(AND('Mapa final'!$I$18="Muy Alta",'Mapa final'!$M$18="Menor"),CONCATENATE("R",'Mapa final'!$A$18),"")</f>
        <v/>
      </c>
      <c r="Q10" s="318"/>
      <c r="R10" s="318" t="str">
        <f>IF(AND('Mapa final'!$I$20="Muy Alta",'Mapa final'!$M$20="Menor"),CONCATENATE("R",'Mapa final'!$A$20),"")</f>
        <v/>
      </c>
      <c r="S10" s="318"/>
      <c r="T10" s="318" t="str">
        <f>IF(AND('Mapa final'!$I$22="Muy Alta",'Mapa final'!$M$22="Menor"),CONCATENATE("R",'Mapa final'!$A$22),"")</f>
        <v/>
      </c>
      <c r="U10" s="319"/>
      <c r="V10" s="317" t="str">
        <f>IF(AND('Mapa final'!$I$18="Muy Alta",'Mapa final'!$M$18="Moderado"),CONCATENATE("R",'Mapa final'!$A$18),"")</f>
        <v/>
      </c>
      <c r="W10" s="318"/>
      <c r="X10" s="318" t="str">
        <f>IF(AND('Mapa final'!$I$20="Muy Alta",'Mapa final'!$M$20="Moderado"),CONCATENATE("R",'Mapa final'!$A$20),"")</f>
        <v/>
      </c>
      <c r="Y10" s="318"/>
      <c r="Z10" s="318" t="str">
        <f>IF(AND('Mapa final'!$I$22="Muy Alta",'Mapa final'!$M$22="Moderado"),CONCATENATE("R",'Mapa final'!$A$22),"")</f>
        <v/>
      </c>
      <c r="AA10" s="319"/>
      <c r="AB10" s="317" t="str">
        <f>IF(AND('Mapa final'!$I$18="Muy Alta",'Mapa final'!$M$18="Mayor"),CONCATENATE("R",'Mapa final'!$A$18),"")</f>
        <v/>
      </c>
      <c r="AC10" s="318"/>
      <c r="AD10" s="318" t="str">
        <f>IF(AND('Mapa final'!$I$20="Muy Alta",'Mapa final'!$M$20="Mayor"),CONCATENATE("R",'Mapa final'!$A$20),"")</f>
        <v/>
      </c>
      <c r="AE10" s="318"/>
      <c r="AF10" s="318" t="str">
        <f>IF(AND('Mapa final'!$I$22="Muy Alta",'Mapa final'!$M$22="Mayor"),CONCATENATE("R",'Mapa final'!$A$22),"")</f>
        <v/>
      </c>
      <c r="AG10" s="319"/>
      <c r="AH10" s="308" t="str">
        <f>IF(AND('Mapa final'!$I$18="Muy Alta",'Mapa final'!$M$18="Catastrófico"),CONCATENATE("R",'Mapa final'!$A$18),"")</f>
        <v/>
      </c>
      <c r="AI10" s="309"/>
      <c r="AJ10" s="309" t="str">
        <f>IF(AND('Mapa final'!$I$20="Muy Alta",'Mapa final'!$M$20="Catastrófico"),CONCATENATE("R",'Mapa final'!$A$20),"")</f>
        <v/>
      </c>
      <c r="AK10" s="309"/>
      <c r="AL10" s="309" t="str">
        <f>IF(AND('Mapa final'!$I$22="Muy Alta",'Mapa final'!$M$22="Catastrófico"),CONCATENATE("R",'Mapa final'!$A$22),"")</f>
        <v/>
      </c>
      <c r="AM10" s="310"/>
      <c r="AN10" s="81"/>
      <c r="AO10" s="342"/>
      <c r="AP10" s="343"/>
      <c r="AQ10" s="343"/>
      <c r="AR10" s="343"/>
      <c r="AS10" s="343"/>
      <c r="AT10" s="344"/>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337"/>
      <c r="C11" s="337"/>
      <c r="D11" s="338"/>
      <c r="E11" s="330"/>
      <c r="F11" s="331"/>
      <c r="G11" s="331"/>
      <c r="H11" s="331"/>
      <c r="I11" s="332"/>
      <c r="J11" s="317"/>
      <c r="K11" s="318"/>
      <c r="L11" s="318"/>
      <c r="M11" s="318"/>
      <c r="N11" s="318"/>
      <c r="O11" s="319"/>
      <c r="P11" s="317"/>
      <c r="Q11" s="318"/>
      <c r="R11" s="318"/>
      <c r="S11" s="318"/>
      <c r="T11" s="318"/>
      <c r="U11" s="319"/>
      <c r="V11" s="317"/>
      <c r="W11" s="318"/>
      <c r="X11" s="318"/>
      <c r="Y11" s="318"/>
      <c r="Z11" s="318"/>
      <c r="AA11" s="319"/>
      <c r="AB11" s="317"/>
      <c r="AC11" s="318"/>
      <c r="AD11" s="318"/>
      <c r="AE11" s="318"/>
      <c r="AF11" s="318"/>
      <c r="AG11" s="319"/>
      <c r="AH11" s="308"/>
      <c r="AI11" s="309"/>
      <c r="AJ11" s="309"/>
      <c r="AK11" s="309"/>
      <c r="AL11" s="309"/>
      <c r="AM11" s="310"/>
      <c r="AN11" s="81"/>
      <c r="AO11" s="342"/>
      <c r="AP11" s="343"/>
      <c r="AQ11" s="343"/>
      <c r="AR11" s="343"/>
      <c r="AS11" s="343"/>
      <c r="AT11" s="344"/>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337"/>
      <c r="C12" s="337"/>
      <c r="D12" s="338"/>
      <c r="E12" s="330"/>
      <c r="F12" s="331"/>
      <c r="G12" s="331"/>
      <c r="H12" s="331"/>
      <c r="I12" s="332"/>
      <c r="J12" s="317" t="str">
        <f>IF(AND('Mapa final'!$I$24="Muy Alta",'Mapa final'!$M$24="Leve"),CONCATENATE("R",'Mapa final'!$A$24),"")</f>
        <v/>
      </c>
      <c r="K12" s="318"/>
      <c r="L12" s="318" t="str">
        <f>IF(AND('Mapa final'!$I$43="Muy Alta",'Mapa final'!$M$43="Leve"),CONCATENATE("R",'Mapa final'!$A$43),"")</f>
        <v/>
      </c>
      <c r="M12" s="318"/>
      <c r="N12" s="318" t="str">
        <f>IF(AND('Mapa final'!$I$49="Muy Alta",'Mapa final'!$M$49="Leve"),CONCATENATE("R",'Mapa final'!$A$49),"")</f>
        <v/>
      </c>
      <c r="O12" s="319"/>
      <c r="P12" s="317" t="str">
        <f>IF(AND('Mapa final'!$I$24="Muy Alta",'Mapa final'!$M$24="Menor"),CONCATENATE("R",'Mapa final'!$A$24),"")</f>
        <v/>
      </c>
      <c r="Q12" s="318"/>
      <c r="R12" s="318" t="str">
        <f>IF(AND('Mapa final'!$I$43="Muy Alta",'Mapa final'!$M$43="Menor"),CONCATENATE("R",'Mapa final'!$A$43),"")</f>
        <v/>
      </c>
      <c r="S12" s="318"/>
      <c r="T12" s="318" t="str">
        <f>IF(AND('Mapa final'!$I$49="Muy Alta",'Mapa final'!$M$49="Menor"),CONCATENATE("R",'Mapa final'!$A$49),"")</f>
        <v/>
      </c>
      <c r="U12" s="319"/>
      <c r="V12" s="317" t="str">
        <f>IF(AND('Mapa final'!$I$24="Muy Alta",'Mapa final'!$M$24="Moderado"),CONCATENATE("R",'Mapa final'!$A$24),"")</f>
        <v/>
      </c>
      <c r="W12" s="318"/>
      <c r="X12" s="318" t="str">
        <f>IF(AND('Mapa final'!$I$43="Muy Alta",'Mapa final'!$M$43="Moderado"),CONCATENATE("R",'Mapa final'!$A$43),"")</f>
        <v/>
      </c>
      <c r="Y12" s="318"/>
      <c r="Z12" s="318" t="str">
        <f>IF(AND('Mapa final'!$I$49="Muy Alta",'Mapa final'!$M$49="Moderado"),CONCATENATE("R",'Mapa final'!$A$49),"")</f>
        <v/>
      </c>
      <c r="AA12" s="319"/>
      <c r="AB12" s="317" t="str">
        <f>IF(AND('Mapa final'!$I$24="Muy Alta",'Mapa final'!$M$24="Mayor"),CONCATENATE("R",'Mapa final'!$A$24),"")</f>
        <v/>
      </c>
      <c r="AC12" s="318"/>
      <c r="AD12" s="318" t="str">
        <f>IF(AND('Mapa final'!$I$43="Muy Alta",'Mapa final'!$M$43="Mayor"),CONCATENATE("R",'Mapa final'!$A$43),"")</f>
        <v/>
      </c>
      <c r="AE12" s="318"/>
      <c r="AF12" s="318" t="str">
        <f>IF(AND('Mapa final'!$I$49="Muy Alta",'Mapa final'!$M$49="Mayor"),CONCATENATE("R",'Mapa final'!$A$49),"")</f>
        <v/>
      </c>
      <c r="AG12" s="319"/>
      <c r="AH12" s="308" t="str">
        <f>IF(AND('Mapa final'!$I$24="Muy Alta",'Mapa final'!$M$24="Catastrófico"),CONCATENATE("R",'Mapa final'!$A$24),"")</f>
        <v/>
      </c>
      <c r="AI12" s="309"/>
      <c r="AJ12" s="309" t="str">
        <f>IF(AND('Mapa final'!$I$43="Muy Alta",'Mapa final'!$M$43="Catastrófico"),CONCATENATE("R",'Mapa final'!$A$43),"")</f>
        <v/>
      </c>
      <c r="AK12" s="309"/>
      <c r="AL12" s="309" t="str">
        <f>IF(AND('Mapa final'!$I$49="Muy Alta",'Mapa final'!$M$49="Catastrófico"),CONCATENATE("R",'Mapa final'!$A$49),"")</f>
        <v/>
      </c>
      <c r="AM12" s="310"/>
      <c r="AN12" s="81"/>
      <c r="AO12" s="342"/>
      <c r="AP12" s="343"/>
      <c r="AQ12" s="343"/>
      <c r="AR12" s="343"/>
      <c r="AS12" s="343"/>
      <c r="AT12" s="344"/>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337"/>
      <c r="C13" s="337"/>
      <c r="D13" s="338"/>
      <c r="E13" s="333"/>
      <c r="F13" s="334"/>
      <c r="G13" s="334"/>
      <c r="H13" s="334"/>
      <c r="I13" s="335"/>
      <c r="J13" s="317"/>
      <c r="K13" s="318"/>
      <c r="L13" s="318"/>
      <c r="M13" s="318"/>
      <c r="N13" s="318"/>
      <c r="O13" s="319"/>
      <c r="P13" s="317"/>
      <c r="Q13" s="318"/>
      <c r="R13" s="318"/>
      <c r="S13" s="318"/>
      <c r="T13" s="318"/>
      <c r="U13" s="319"/>
      <c r="V13" s="317"/>
      <c r="W13" s="318"/>
      <c r="X13" s="318"/>
      <c r="Y13" s="318"/>
      <c r="Z13" s="318"/>
      <c r="AA13" s="319"/>
      <c r="AB13" s="317"/>
      <c r="AC13" s="318"/>
      <c r="AD13" s="318"/>
      <c r="AE13" s="318"/>
      <c r="AF13" s="318"/>
      <c r="AG13" s="319"/>
      <c r="AH13" s="311"/>
      <c r="AI13" s="312"/>
      <c r="AJ13" s="312"/>
      <c r="AK13" s="312"/>
      <c r="AL13" s="312"/>
      <c r="AM13" s="313"/>
      <c r="AN13" s="81"/>
      <c r="AO13" s="345"/>
      <c r="AP13" s="346"/>
      <c r="AQ13" s="346"/>
      <c r="AR13" s="346"/>
      <c r="AS13" s="346"/>
      <c r="AT13" s="347"/>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337"/>
      <c r="C14" s="337"/>
      <c r="D14" s="338"/>
      <c r="E14" s="327" t="s">
        <v>113</v>
      </c>
      <c r="F14" s="328"/>
      <c r="G14" s="328"/>
      <c r="H14" s="328"/>
      <c r="I14" s="328"/>
      <c r="J14" s="305" t="str">
        <f>IF(AND('Mapa final'!$I$7="Alta",'Mapa final'!$M$7="Leve"),CONCATENATE("R",'Mapa final'!$A$7),"")</f>
        <v/>
      </c>
      <c r="K14" s="306"/>
      <c r="L14" s="306" t="str">
        <f>IF(AND('Mapa final'!$I$9="Alta",'Mapa final'!$M$9="Leve"),CONCATENATE("R",'Mapa final'!$A$9),"")</f>
        <v/>
      </c>
      <c r="M14" s="306"/>
      <c r="N14" s="306" t="str">
        <f>IF(AND('Mapa final'!$I$11="Alta",'Mapa final'!$M$11="Leve"),CONCATENATE("R",'Mapa final'!$A$11),"")</f>
        <v/>
      </c>
      <c r="O14" s="307"/>
      <c r="P14" s="305" t="str">
        <f>IF(AND('Mapa final'!$I$7="Alta",'Mapa final'!$M$7="Menor"),CONCATENATE("R",'Mapa final'!$A$7),"")</f>
        <v/>
      </c>
      <c r="Q14" s="306"/>
      <c r="R14" s="306" t="str">
        <f>IF(AND('Mapa final'!$I$9="Alta",'Mapa final'!$M$9="Menor"),CONCATENATE("R",'Mapa final'!$A$9),"")</f>
        <v/>
      </c>
      <c r="S14" s="306"/>
      <c r="T14" s="306" t="str">
        <f>IF(AND('Mapa final'!$I$11="Alta",'Mapa final'!$M$11="Menor"),CONCATENATE("R",'Mapa final'!$A$11),"")</f>
        <v/>
      </c>
      <c r="U14" s="307"/>
      <c r="V14" s="323" t="str">
        <f>IF(AND('Mapa final'!$I$7="Alta",'Mapa final'!$M$7="Moderado"),CONCATENATE("R",'Mapa final'!$A$7),"")</f>
        <v/>
      </c>
      <c r="W14" s="324"/>
      <c r="X14" s="324" t="str">
        <f>IF(AND('Mapa final'!$I$9="Alta",'Mapa final'!$M$9="Moderado"),CONCATENATE("R",'Mapa final'!$A$9),"")</f>
        <v/>
      </c>
      <c r="Y14" s="324"/>
      <c r="Z14" s="324" t="str">
        <f>IF(AND('Mapa final'!$I$11="Alta",'Mapa final'!$M$11="Moderado"),CONCATENATE("R",'Mapa final'!$A$11),"")</f>
        <v/>
      </c>
      <c r="AA14" s="325"/>
      <c r="AB14" s="323" t="str">
        <f>IF(AND('Mapa final'!$I$7="Alta",'Mapa final'!$M$7="Mayor"),CONCATENATE("R",'Mapa final'!$A$7),"")</f>
        <v/>
      </c>
      <c r="AC14" s="324"/>
      <c r="AD14" s="324" t="str">
        <f>IF(AND('Mapa final'!$I$9="Alta",'Mapa final'!$M$9="Mayor"),CONCATENATE("R",'Mapa final'!$A$9),"")</f>
        <v/>
      </c>
      <c r="AE14" s="324"/>
      <c r="AF14" s="324" t="str">
        <f>IF(AND('Mapa final'!$I$11="Alta",'Mapa final'!$M$11="Mayor"),CONCATENATE("R",'Mapa final'!$A$11),"")</f>
        <v/>
      </c>
      <c r="AG14" s="325"/>
      <c r="AH14" s="314" t="str">
        <f>IF(AND('Mapa final'!$I$7="Alta",'Mapa final'!$M$7="Catastrófico"),CONCATENATE("R",'Mapa final'!$A$7),"")</f>
        <v/>
      </c>
      <c r="AI14" s="315"/>
      <c r="AJ14" s="315" t="str">
        <f>IF(AND('Mapa final'!$I$9="Alta",'Mapa final'!$M$9="Catastrófico"),CONCATENATE("R",'Mapa final'!$A$9),"")</f>
        <v/>
      </c>
      <c r="AK14" s="315"/>
      <c r="AL14" s="315" t="str">
        <f>IF(AND('Mapa final'!$I$11="Alta",'Mapa final'!$M$11="Catastrófico"),CONCATENATE("R",'Mapa final'!$A$11),"")</f>
        <v/>
      </c>
      <c r="AM14" s="316"/>
      <c r="AN14" s="81"/>
      <c r="AO14" s="348" t="s">
        <v>78</v>
      </c>
      <c r="AP14" s="349"/>
      <c r="AQ14" s="349"/>
      <c r="AR14" s="349"/>
      <c r="AS14" s="349"/>
      <c r="AT14" s="350"/>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337"/>
      <c r="C15" s="337"/>
      <c r="D15" s="338"/>
      <c r="E15" s="330"/>
      <c r="F15" s="331"/>
      <c r="G15" s="331"/>
      <c r="H15" s="331"/>
      <c r="I15" s="331"/>
      <c r="J15" s="299"/>
      <c r="K15" s="300"/>
      <c r="L15" s="300"/>
      <c r="M15" s="300"/>
      <c r="N15" s="300"/>
      <c r="O15" s="301"/>
      <c r="P15" s="299"/>
      <c r="Q15" s="300"/>
      <c r="R15" s="300"/>
      <c r="S15" s="300"/>
      <c r="T15" s="300"/>
      <c r="U15" s="301"/>
      <c r="V15" s="317"/>
      <c r="W15" s="318"/>
      <c r="X15" s="318"/>
      <c r="Y15" s="318"/>
      <c r="Z15" s="318"/>
      <c r="AA15" s="319"/>
      <c r="AB15" s="317"/>
      <c r="AC15" s="318"/>
      <c r="AD15" s="318"/>
      <c r="AE15" s="318"/>
      <c r="AF15" s="318"/>
      <c r="AG15" s="319"/>
      <c r="AH15" s="308"/>
      <c r="AI15" s="309"/>
      <c r="AJ15" s="309"/>
      <c r="AK15" s="309"/>
      <c r="AL15" s="309"/>
      <c r="AM15" s="310"/>
      <c r="AN15" s="81"/>
      <c r="AO15" s="351"/>
      <c r="AP15" s="352"/>
      <c r="AQ15" s="352"/>
      <c r="AR15" s="352"/>
      <c r="AS15" s="352"/>
      <c r="AT15" s="353"/>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337"/>
      <c r="C16" s="337"/>
      <c r="D16" s="338"/>
      <c r="E16" s="330"/>
      <c r="F16" s="331"/>
      <c r="G16" s="331"/>
      <c r="H16" s="331"/>
      <c r="I16" s="331"/>
      <c r="J16" s="299" t="str">
        <f>IF(AND('Mapa final'!$I$12="Alta",'Mapa final'!$M$12="Leve"),CONCATENATE("R",'Mapa final'!$A$12),"")</f>
        <v/>
      </c>
      <c r="K16" s="300"/>
      <c r="L16" s="300" t="str">
        <f>IF(AND('Mapa final'!$I$13="Alta",'Mapa final'!$M$13="Leve"),CONCATENATE("R",'Mapa final'!$A$13),"")</f>
        <v/>
      </c>
      <c r="M16" s="300"/>
      <c r="N16" s="300" t="str">
        <f>IF(AND('Mapa final'!$I$15="Alta",'Mapa final'!$M$15="Leve"),CONCATENATE("R",'Mapa final'!$A$15),"")</f>
        <v/>
      </c>
      <c r="O16" s="301"/>
      <c r="P16" s="299" t="str">
        <f>IF(AND('Mapa final'!$I$12="Alta",'Mapa final'!$M$12="Menor"),CONCATENATE("R",'Mapa final'!$A$12),"")</f>
        <v/>
      </c>
      <c r="Q16" s="300"/>
      <c r="R16" s="300" t="str">
        <f>IF(AND('Mapa final'!$I$13="Alta",'Mapa final'!$M$13="Menor"),CONCATENATE("R",'Mapa final'!$A$13),"")</f>
        <v/>
      </c>
      <c r="S16" s="300"/>
      <c r="T16" s="300" t="str">
        <f>IF(AND('Mapa final'!$I$15="Alta",'Mapa final'!$M$15="Menor"),CONCATENATE("R",'Mapa final'!$A$15),"")</f>
        <v/>
      </c>
      <c r="U16" s="301"/>
      <c r="V16" s="317" t="str">
        <f>IF(AND('Mapa final'!$I$12="Alta",'Mapa final'!$M$12="Moderado"),CONCATENATE("R",'Mapa final'!$A$12),"")</f>
        <v/>
      </c>
      <c r="W16" s="318"/>
      <c r="X16" s="318" t="str">
        <f>IF(AND('Mapa final'!$I$13="Alta",'Mapa final'!$M$13="Moderado"),CONCATENATE("R",'Mapa final'!$A$13),"")</f>
        <v/>
      </c>
      <c r="Y16" s="318"/>
      <c r="Z16" s="318" t="str">
        <f>IF(AND('Mapa final'!$I$15="Alta",'Mapa final'!$M$15="Moderado"),CONCATENATE("R",'Mapa final'!$A$15),"")</f>
        <v/>
      </c>
      <c r="AA16" s="319"/>
      <c r="AB16" s="317" t="str">
        <f>IF(AND('Mapa final'!$I$12="Alta",'Mapa final'!$M$12="Mayor"),CONCATENATE("R",'Mapa final'!$A$12),"")</f>
        <v/>
      </c>
      <c r="AC16" s="318"/>
      <c r="AD16" s="318" t="str">
        <f>IF(AND('Mapa final'!$I$13="Alta",'Mapa final'!$M$13="Mayor"),CONCATENATE("R",'Mapa final'!$A$13),"")</f>
        <v/>
      </c>
      <c r="AE16" s="318"/>
      <c r="AF16" s="318" t="str">
        <f>IF(AND('Mapa final'!$I$15="Alta",'Mapa final'!$M$15="Mayor"),CONCATENATE("R",'Mapa final'!$A$15),"")</f>
        <v/>
      </c>
      <c r="AG16" s="319"/>
      <c r="AH16" s="308" t="str">
        <f>IF(AND('Mapa final'!$I$12="Alta",'Mapa final'!$M$12="Catastrófico"),CONCATENATE("R",'Mapa final'!$A$12),"")</f>
        <v/>
      </c>
      <c r="AI16" s="309"/>
      <c r="AJ16" s="309" t="str">
        <f>IF(AND('Mapa final'!$I$13="Alta",'Mapa final'!$M$13="Catastrófico"),CONCATENATE("R",'Mapa final'!$A$13),"")</f>
        <v/>
      </c>
      <c r="AK16" s="309"/>
      <c r="AL16" s="309" t="str">
        <f>IF(AND('Mapa final'!$I$15="Alta",'Mapa final'!$M$15="Catastrófico"),CONCATENATE("R",'Mapa final'!$A$15),"")</f>
        <v/>
      </c>
      <c r="AM16" s="310"/>
      <c r="AN16" s="81"/>
      <c r="AO16" s="351"/>
      <c r="AP16" s="352"/>
      <c r="AQ16" s="352"/>
      <c r="AR16" s="352"/>
      <c r="AS16" s="352"/>
      <c r="AT16" s="353"/>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337"/>
      <c r="C17" s="337"/>
      <c r="D17" s="338"/>
      <c r="E17" s="330"/>
      <c r="F17" s="331"/>
      <c r="G17" s="331"/>
      <c r="H17" s="331"/>
      <c r="I17" s="331"/>
      <c r="J17" s="299"/>
      <c r="K17" s="300"/>
      <c r="L17" s="300"/>
      <c r="M17" s="300"/>
      <c r="N17" s="300"/>
      <c r="O17" s="301"/>
      <c r="P17" s="299"/>
      <c r="Q17" s="300"/>
      <c r="R17" s="300"/>
      <c r="S17" s="300"/>
      <c r="T17" s="300"/>
      <c r="U17" s="301"/>
      <c r="V17" s="317"/>
      <c r="W17" s="318"/>
      <c r="X17" s="318"/>
      <c r="Y17" s="318"/>
      <c r="Z17" s="318"/>
      <c r="AA17" s="319"/>
      <c r="AB17" s="317"/>
      <c r="AC17" s="318"/>
      <c r="AD17" s="318"/>
      <c r="AE17" s="318"/>
      <c r="AF17" s="318"/>
      <c r="AG17" s="319"/>
      <c r="AH17" s="308"/>
      <c r="AI17" s="309"/>
      <c r="AJ17" s="309"/>
      <c r="AK17" s="309"/>
      <c r="AL17" s="309"/>
      <c r="AM17" s="310"/>
      <c r="AN17" s="81"/>
      <c r="AO17" s="351"/>
      <c r="AP17" s="352"/>
      <c r="AQ17" s="352"/>
      <c r="AR17" s="352"/>
      <c r="AS17" s="352"/>
      <c r="AT17" s="353"/>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337"/>
      <c r="C18" s="337"/>
      <c r="D18" s="338"/>
      <c r="E18" s="330"/>
      <c r="F18" s="331"/>
      <c r="G18" s="331"/>
      <c r="H18" s="331"/>
      <c r="I18" s="331"/>
      <c r="J18" s="299" t="str">
        <f>IF(AND('Mapa final'!$I$18="Alta",'Mapa final'!$M$18="Leve"),CONCATENATE("R",'Mapa final'!$A$18),"")</f>
        <v/>
      </c>
      <c r="K18" s="300"/>
      <c r="L18" s="300" t="str">
        <f>IF(AND('Mapa final'!$I$20="Alta",'Mapa final'!$M$20="Leve"),CONCATENATE("R",'Mapa final'!$A$20),"")</f>
        <v/>
      </c>
      <c r="M18" s="300"/>
      <c r="N18" s="300" t="str">
        <f>IF(AND('Mapa final'!$I$22="Alta",'Mapa final'!$M$22="Leve"),CONCATENATE("R",'Mapa final'!$A$22),"")</f>
        <v/>
      </c>
      <c r="O18" s="301"/>
      <c r="P18" s="299" t="str">
        <f>IF(AND('Mapa final'!$I$18="Alta",'Mapa final'!$M$18="Menor"),CONCATENATE("R",'Mapa final'!$A$18),"")</f>
        <v/>
      </c>
      <c r="Q18" s="300"/>
      <c r="R18" s="300" t="str">
        <f>IF(AND('Mapa final'!$I$20="Alta",'Mapa final'!$M$20="Menor"),CONCATENATE("R",'Mapa final'!$A$20),"")</f>
        <v/>
      </c>
      <c r="S18" s="300"/>
      <c r="T18" s="300" t="str">
        <f>IF(AND('Mapa final'!$I$22="Alta",'Mapa final'!$M$22="Menor"),CONCATENATE("R",'Mapa final'!$A$22),"")</f>
        <v/>
      </c>
      <c r="U18" s="301"/>
      <c r="V18" s="317" t="str">
        <f>IF(AND('Mapa final'!$I$18="Alta",'Mapa final'!$M$18="Moderado"),CONCATENATE("R",'Mapa final'!$A$18),"")</f>
        <v/>
      </c>
      <c r="W18" s="318"/>
      <c r="X18" s="318" t="str">
        <f>IF(AND('Mapa final'!$I$20="Alta",'Mapa final'!$M$20="Moderado"),CONCATENATE("R",'Mapa final'!$A$20),"")</f>
        <v/>
      </c>
      <c r="Y18" s="318"/>
      <c r="Z18" s="318" t="str">
        <f>IF(AND('Mapa final'!$I$22="Alta",'Mapa final'!$M$22="Moderado"),CONCATENATE("R",'Mapa final'!$A$22),"")</f>
        <v/>
      </c>
      <c r="AA18" s="319"/>
      <c r="AB18" s="317" t="str">
        <f>IF(AND('Mapa final'!$I$18="Alta",'Mapa final'!$M$18="Mayor"),CONCATENATE("R",'Mapa final'!$A$18),"")</f>
        <v/>
      </c>
      <c r="AC18" s="318"/>
      <c r="AD18" s="318" t="str">
        <f>IF(AND('Mapa final'!$I$20="Alta",'Mapa final'!$M$20="Mayor"),CONCATENATE("R",'Mapa final'!$A$20),"")</f>
        <v/>
      </c>
      <c r="AE18" s="318"/>
      <c r="AF18" s="318" t="str">
        <f>IF(AND('Mapa final'!$I$22="Alta",'Mapa final'!$M$22="Mayor"),CONCATENATE("R",'Mapa final'!$A$22),"")</f>
        <v/>
      </c>
      <c r="AG18" s="319"/>
      <c r="AH18" s="308" t="str">
        <f>IF(AND('Mapa final'!$I$18="Alta",'Mapa final'!$M$18="Catastrófico"),CONCATENATE("R",'Mapa final'!$A$18),"")</f>
        <v/>
      </c>
      <c r="AI18" s="309"/>
      <c r="AJ18" s="309" t="str">
        <f>IF(AND('Mapa final'!$I$20="Alta",'Mapa final'!$M$20="Catastrófico"),CONCATENATE("R",'Mapa final'!$A$20),"")</f>
        <v/>
      </c>
      <c r="AK18" s="309"/>
      <c r="AL18" s="309" t="str">
        <f>IF(AND('Mapa final'!$I$22="Alta",'Mapa final'!$M$22="Catastrófico"),CONCATENATE("R",'Mapa final'!$A$22),"")</f>
        <v/>
      </c>
      <c r="AM18" s="310"/>
      <c r="AN18" s="81"/>
      <c r="AO18" s="351"/>
      <c r="AP18" s="352"/>
      <c r="AQ18" s="352"/>
      <c r="AR18" s="352"/>
      <c r="AS18" s="352"/>
      <c r="AT18" s="353"/>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337"/>
      <c r="C19" s="337"/>
      <c r="D19" s="338"/>
      <c r="E19" s="330"/>
      <c r="F19" s="331"/>
      <c r="G19" s="331"/>
      <c r="H19" s="331"/>
      <c r="I19" s="331"/>
      <c r="J19" s="299"/>
      <c r="K19" s="300"/>
      <c r="L19" s="300"/>
      <c r="M19" s="300"/>
      <c r="N19" s="300"/>
      <c r="O19" s="301"/>
      <c r="P19" s="299"/>
      <c r="Q19" s="300"/>
      <c r="R19" s="300"/>
      <c r="S19" s="300"/>
      <c r="T19" s="300"/>
      <c r="U19" s="301"/>
      <c r="V19" s="317"/>
      <c r="W19" s="318"/>
      <c r="X19" s="318"/>
      <c r="Y19" s="318"/>
      <c r="Z19" s="318"/>
      <c r="AA19" s="319"/>
      <c r="AB19" s="317"/>
      <c r="AC19" s="318"/>
      <c r="AD19" s="318"/>
      <c r="AE19" s="318"/>
      <c r="AF19" s="318"/>
      <c r="AG19" s="319"/>
      <c r="AH19" s="308"/>
      <c r="AI19" s="309"/>
      <c r="AJ19" s="309"/>
      <c r="AK19" s="309"/>
      <c r="AL19" s="309"/>
      <c r="AM19" s="310"/>
      <c r="AN19" s="81"/>
      <c r="AO19" s="351"/>
      <c r="AP19" s="352"/>
      <c r="AQ19" s="352"/>
      <c r="AR19" s="352"/>
      <c r="AS19" s="352"/>
      <c r="AT19" s="353"/>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337"/>
      <c r="C20" s="337"/>
      <c r="D20" s="338"/>
      <c r="E20" s="330"/>
      <c r="F20" s="331"/>
      <c r="G20" s="331"/>
      <c r="H20" s="331"/>
      <c r="I20" s="331"/>
      <c r="J20" s="299" t="str">
        <f>IF(AND('Mapa final'!$I$24="Alta",'Mapa final'!$M$24="Leve"),CONCATENATE("R",'Mapa final'!$A$24),"")</f>
        <v/>
      </c>
      <c r="K20" s="300"/>
      <c r="L20" s="300" t="str">
        <f>IF(AND('Mapa final'!$I$43="Alta",'Mapa final'!$M$43="Leve"),CONCATENATE("R",'Mapa final'!$A$43),"")</f>
        <v/>
      </c>
      <c r="M20" s="300"/>
      <c r="N20" s="300" t="str">
        <f>IF(AND('Mapa final'!$I$49="Alta",'Mapa final'!$M$49="Leve"),CONCATENATE("R",'Mapa final'!$A$49),"")</f>
        <v/>
      </c>
      <c r="O20" s="301"/>
      <c r="P20" s="299" t="str">
        <f>IF(AND('Mapa final'!$I$24="Alta",'Mapa final'!$M$24="Menor"),CONCATENATE("R",'Mapa final'!$A$24),"")</f>
        <v/>
      </c>
      <c r="Q20" s="300"/>
      <c r="R20" s="300" t="str">
        <f>IF(AND('Mapa final'!$I$43="Alta",'Mapa final'!$M$43="Menor"),CONCATENATE("R",'Mapa final'!$A$43),"")</f>
        <v/>
      </c>
      <c r="S20" s="300"/>
      <c r="T20" s="300" t="str">
        <f>IF(AND('Mapa final'!$I$49="Alta",'Mapa final'!$M$49="Menor"),CONCATENATE("R",'Mapa final'!$A$49),"")</f>
        <v/>
      </c>
      <c r="U20" s="301"/>
      <c r="V20" s="317" t="str">
        <f>IF(AND('Mapa final'!$I$24="Alta",'Mapa final'!$M$24="Moderado"),CONCATENATE("R",'Mapa final'!$A$24),"")</f>
        <v/>
      </c>
      <c r="W20" s="318"/>
      <c r="X20" s="318" t="str">
        <f>IF(AND('Mapa final'!$I$43="Alta",'Mapa final'!$M$43="Moderado"),CONCATENATE("R",'Mapa final'!$A$43),"")</f>
        <v/>
      </c>
      <c r="Y20" s="318"/>
      <c r="Z20" s="318" t="str">
        <f>IF(AND('Mapa final'!$I$49="Alta",'Mapa final'!$M$49="Moderado"),CONCATENATE("R",'Mapa final'!$A$49),"")</f>
        <v/>
      </c>
      <c r="AA20" s="319"/>
      <c r="AB20" s="317" t="str">
        <f>IF(AND('Mapa final'!$I$24="Alta",'Mapa final'!$M$24="Mayor"),CONCATENATE("R",'Mapa final'!$A$24),"")</f>
        <v/>
      </c>
      <c r="AC20" s="318"/>
      <c r="AD20" s="318" t="str">
        <f>IF(AND('Mapa final'!$I$43="Alta",'Mapa final'!$M$43="Mayor"),CONCATENATE("R",'Mapa final'!$A$43),"")</f>
        <v/>
      </c>
      <c r="AE20" s="318"/>
      <c r="AF20" s="318" t="str">
        <f>IF(AND('Mapa final'!$I$49="Alta",'Mapa final'!$M$49="Mayor"),CONCATENATE("R",'Mapa final'!$A$49),"")</f>
        <v/>
      </c>
      <c r="AG20" s="319"/>
      <c r="AH20" s="308" t="str">
        <f>IF(AND('Mapa final'!$I$24="Alta",'Mapa final'!$M$24="Catastrófico"),CONCATENATE("R",'Mapa final'!$A$24),"")</f>
        <v/>
      </c>
      <c r="AI20" s="309"/>
      <c r="AJ20" s="309" t="str">
        <f>IF(AND('Mapa final'!$I$43="Alta",'Mapa final'!$M$43="Catastrófico"),CONCATENATE("R",'Mapa final'!$A$43),"")</f>
        <v/>
      </c>
      <c r="AK20" s="309"/>
      <c r="AL20" s="309" t="str">
        <f>IF(AND('Mapa final'!$I$49="Alta",'Mapa final'!$M$49="Catastrófico"),CONCATENATE("R",'Mapa final'!$A$49),"")</f>
        <v/>
      </c>
      <c r="AM20" s="310"/>
      <c r="AN20" s="81"/>
      <c r="AO20" s="351"/>
      <c r="AP20" s="352"/>
      <c r="AQ20" s="352"/>
      <c r="AR20" s="352"/>
      <c r="AS20" s="352"/>
      <c r="AT20" s="353"/>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337"/>
      <c r="C21" s="337"/>
      <c r="D21" s="338"/>
      <c r="E21" s="333"/>
      <c r="F21" s="334"/>
      <c r="G21" s="334"/>
      <c r="H21" s="334"/>
      <c r="I21" s="334"/>
      <c r="J21" s="302"/>
      <c r="K21" s="303"/>
      <c r="L21" s="303"/>
      <c r="M21" s="303"/>
      <c r="N21" s="303"/>
      <c r="O21" s="304"/>
      <c r="P21" s="302"/>
      <c r="Q21" s="303"/>
      <c r="R21" s="303"/>
      <c r="S21" s="303"/>
      <c r="T21" s="303"/>
      <c r="U21" s="304"/>
      <c r="V21" s="320"/>
      <c r="W21" s="321"/>
      <c r="X21" s="321"/>
      <c r="Y21" s="321"/>
      <c r="Z21" s="321"/>
      <c r="AA21" s="322"/>
      <c r="AB21" s="320"/>
      <c r="AC21" s="321"/>
      <c r="AD21" s="321"/>
      <c r="AE21" s="321"/>
      <c r="AF21" s="321"/>
      <c r="AG21" s="322"/>
      <c r="AH21" s="311"/>
      <c r="AI21" s="312"/>
      <c r="AJ21" s="312"/>
      <c r="AK21" s="312"/>
      <c r="AL21" s="312"/>
      <c r="AM21" s="313"/>
      <c r="AN21" s="81"/>
      <c r="AO21" s="354"/>
      <c r="AP21" s="355"/>
      <c r="AQ21" s="355"/>
      <c r="AR21" s="355"/>
      <c r="AS21" s="355"/>
      <c r="AT21" s="356"/>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337"/>
      <c r="C22" s="337"/>
      <c r="D22" s="338"/>
      <c r="E22" s="327" t="s">
        <v>115</v>
      </c>
      <c r="F22" s="328"/>
      <c r="G22" s="328"/>
      <c r="H22" s="328"/>
      <c r="I22" s="329"/>
      <c r="J22" s="305" t="str">
        <f>IF(AND('Mapa final'!$I$7="Media",'Mapa final'!$M$7="Leve"),CONCATENATE("R",'Mapa final'!$A$7),"")</f>
        <v/>
      </c>
      <c r="K22" s="306"/>
      <c r="L22" s="306" t="str">
        <f>IF(AND('Mapa final'!$I$9="Media",'Mapa final'!$M$9="Leve"),CONCATENATE("R",'Mapa final'!$A$9),"")</f>
        <v/>
      </c>
      <c r="M22" s="306"/>
      <c r="N22" s="306" t="str">
        <f>IF(AND('Mapa final'!$I$11="Media",'Mapa final'!$M$11="Leve"),CONCATENATE("R",'Mapa final'!$A$11),"")</f>
        <v/>
      </c>
      <c r="O22" s="307"/>
      <c r="P22" s="305" t="str">
        <f>IF(AND('Mapa final'!$I$7="Media",'Mapa final'!$M$7="Menor"),CONCATENATE("R",'Mapa final'!$A$7),"")</f>
        <v/>
      </c>
      <c r="Q22" s="306"/>
      <c r="R22" s="306" t="str">
        <f>IF(AND('Mapa final'!$I$9="Media",'Mapa final'!$M$9="Menor"),CONCATENATE("R",'Mapa final'!$A$9),"")</f>
        <v/>
      </c>
      <c r="S22" s="306"/>
      <c r="T22" s="306" t="str">
        <f>IF(AND('Mapa final'!$I$11="Media",'Mapa final'!$M$11="Menor"),CONCATENATE("R",'Mapa final'!$A$11),"")</f>
        <v/>
      </c>
      <c r="U22" s="307"/>
      <c r="V22" s="305" t="str">
        <f>IF(AND('Mapa final'!$I$7="Media",'Mapa final'!$M$7="Moderado"),CONCATENATE("R",'Mapa final'!$A$7),"")</f>
        <v/>
      </c>
      <c r="W22" s="306"/>
      <c r="X22" s="306" t="str">
        <f>IF(AND('Mapa final'!$I$9="Media",'Mapa final'!$M$9="Moderado"),CONCATENATE("R",'Mapa final'!$A$9),"")</f>
        <v/>
      </c>
      <c r="Y22" s="306"/>
      <c r="Z22" s="306" t="str">
        <f>IF(AND('Mapa final'!$I$11="Media",'Mapa final'!$M$11="Moderado"),CONCATENATE("R",'Mapa final'!$A$11),"")</f>
        <v/>
      </c>
      <c r="AA22" s="307"/>
      <c r="AB22" s="323" t="str">
        <f>IF(AND('Mapa final'!$I$7="Media",'Mapa final'!$M$7="Mayor"),CONCATENATE("R",'Mapa final'!$A$7),"")</f>
        <v/>
      </c>
      <c r="AC22" s="324"/>
      <c r="AD22" s="324" t="str">
        <f>IF(AND('Mapa final'!$I$9="Media",'Mapa final'!$M$9="Mayor"),CONCATENATE("R",'Mapa final'!$A$9),"")</f>
        <v/>
      </c>
      <c r="AE22" s="324"/>
      <c r="AF22" s="324" t="str">
        <f>IF(AND('Mapa final'!$I$11="Media",'Mapa final'!$M$11="Mayor"),CONCATENATE("R",'Mapa final'!$A$11),"")</f>
        <v/>
      </c>
      <c r="AG22" s="325"/>
      <c r="AH22" s="314" t="str">
        <f>IF(AND('Mapa final'!$I$7="Media",'Mapa final'!$M$7="Catastrófico"),CONCATENATE("R",'Mapa final'!$A$7),"")</f>
        <v/>
      </c>
      <c r="AI22" s="315"/>
      <c r="AJ22" s="315" t="str">
        <f>IF(AND('Mapa final'!$I$9="Media",'Mapa final'!$M$9="Catastrófico"),CONCATENATE("R",'Mapa final'!$A$9),"")</f>
        <v/>
      </c>
      <c r="AK22" s="315"/>
      <c r="AL22" s="315" t="str">
        <f>IF(AND('Mapa final'!$I$11="Media",'Mapa final'!$M$11="Catastrófico"),CONCATENATE("R",'Mapa final'!$A$11),"")</f>
        <v/>
      </c>
      <c r="AM22" s="316"/>
      <c r="AN22" s="81"/>
      <c r="AO22" s="357" t="s">
        <v>79</v>
      </c>
      <c r="AP22" s="358"/>
      <c r="AQ22" s="358"/>
      <c r="AR22" s="358"/>
      <c r="AS22" s="358"/>
      <c r="AT22" s="359"/>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337"/>
      <c r="C23" s="337"/>
      <c r="D23" s="338"/>
      <c r="E23" s="330"/>
      <c r="F23" s="331"/>
      <c r="G23" s="331"/>
      <c r="H23" s="331"/>
      <c r="I23" s="332"/>
      <c r="J23" s="299"/>
      <c r="K23" s="300"/>
      <c r="L23" s="300"/>
      <c r="M23" s="300"/>
      <c r="N23" s="300"/>
      <c r="O23" s="301"/>
      <c r="P23" s="299"/>
      <c r="Q23" s="300"/>
      <c r="R23" s="300"/>
      <c r="S23" s="300"/>
      <c r="T23" s="300"/>
      <c r="U23" s="301"/>
      <c r="V23" s="299"/>
      <c r="W23" s="300"/>
      <c r="X23" s="300"/>
      <c r="Y23" s="300"/>
      <c r="Z23" s="300"/>
      <c r="AA23" s="301"/>
      <c r="AB23" s="317"/>
      <c r="AC23" s="318"/>
      <c r="AD23" s="318"/>
      <c r="AE23" s="318"/>
      <c r="AF23" s="318"/>
      <c r="AG23" s="319"/>
      <c r="AH23" s="308"/>
      <c r="AI23" s="309"/>
      <c r="AJ23" s="309"/>
      <c r="AK23" s="309"/>
      <c r="AL23" s="309"/>
      <c r="AM23" s="310"/>
      <c r="AN23" s="81"/>
      <c r="AO23" s="360"/>
      <c r="AP23" s="361"/>
      <c r="AQ23" s="361"/>
      <c r="AR23" s="361"/>
      <c r="AS23" s="361"/>
      <c r="AT23" s="362"/>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337"/>
      <c r="C24" s="337"/>
      <c r="D24" s="338"/>
      <c r="E24" s="330"/>
      <c r="F24" s="331"/>
      <c r="G24" s="331"/>
      <c r="H24" s="331"/>
      <c r="I24" s="332"/>
      <c r="J24" s="299" t="str">
        <f>IF(AND('Mapa final'!$I$12="Media",'Mapa final'!$M$12="Leve"),CONCATENATE("R",'Mapa final'!$A$12),"")</f>
        <v/>
      </c>
      <c r="K24" s="300"/>
      <c r="L24" s="300" t="str">
        <f>IF(AND('Mapa final'!$I$13="Media",'Mapa final'!$M$13="Leve"),CONCATENATE("R",'Mapa final'!$A$13),"")</f>
        <v/>
      </c>
      <c r="M24" s="300"/>
      <c r="N24" s="300" t="str">
        <f>IF(AND('Mapa final'!$I$15="Media",'Mapa final'!$M$15="Leve"),CONCATENATE("R",'Mapa final'!$A$15),"")</f>
        <v/>
      </c>
      <c r="O24" s="301"/>
      <c r="P24" s="299" t="str">
        <f>IF(AND('Mapa final'!$I$12="Media",'Mapa final'!$M$12="Menor"),CONCATENATE("R",'Mapa final'!$A$12),"")</f>
        <v/>
      </c>
      <c r="Q24" s="300"/>
      <c r="R24" s="300" t="str">
        <f>IF(AND('Mapa final'!$I$13="Media",'Mapa final'!$M$13="Menor"),CONCATENATE("R",'Mapa final'!$A$13),"")</f>
        <v/>
      </c>
      <c r="S24" s="300"/>
      <c r="T24" s="300" t="str">
        <f>IF(AND('Mapa final'!$I$15="Media",'Mapa final'!$M$15="Menor"),CONCATENATE("R",'Mapa final'!$A$15),"")</f>
        <v/>
      </c>
      <c r="U24" s="301"/>
      <c r="V24" s="299" t="str">
        <f>IF(AND('Mapa final'!$I$12="Media",'Mapa final'!$M$12="Moderado"),CONCATENATE("R",'Mapa final'!$A$12),"")</f>
        <v/>
      </c>
      <c r="W24" s="300"/>
      <c r="X24" s="300" t="str">
        <f>IF(AND('Mapa final'!$I$13="Media",'Mapa final'!$M$13="Moderado"),CONCATENATE("R",'Mapa final'!$A$13),"")</f>
        <v/>
      </c>
      <c r="Y24" s="300"/>
      <c r="Z24" s="300" t="str">
        <f>IF(AND('Mapa final'!$I$15="Media",'Mapa final'!$M$15="Moderado"),CONCATENATE("R",'Mapa final'!$A$15),"")</f>
        <v/>
      </c>
      <c r="AA24" s="301"/>
      <c r="AB24" s="317" t="str">
        <f>IF(AND('Mapa final'!$I$12="Media",'Mapa final'!$M$12="Mayor"),CONCATENATE("R",'Mapa final'!$A$12),"")</f>
        <v/>
      </c>
      <c r="AC24" s="318"/>
      <c r="AD24" s="318" t="str">
        <f>IF(AND('Mapa final'!$I$13="Media",'Mapa final'!$M$13="Mayor"),CONCATENATE("R",'Mapa final'!$A$13),"")</f>
        <v/>
      </c>
      <c r="AE24" s="318"/>
      <c r="AF24" s="318" t="str">
        <f>IF(AND('Mapa final'!$I$15="Media",'Mapa final'!$M$15="Mayor"),CONCATENATE("R",'Mapa final'!$A$15),"")</f>
        <v/>
      </c>
      <c r="AG24" s="319"/>
      <c r="AH24" s="308" t="str">
        <f>IF(AND('Mapa final'!$I$12="Media",'Mapa final'!$M$12="Catastrófico"),CONCATENATE("R",'Mapa final'!$A$12),"")</f>
        <v/>
      </c>
      <c r="AI24" s="309"/>
      <c r="AJ24" s="309" t="str">
        <f>IF(AND('Mapa final'!$I$13="Media",'Mapa final'!$M$13="Catastrófico"),CONCATENATE("R",'Mapa final'!$A$13),"")</f>
        <v/>
      </c>
      <c r="AK24" s="309"/>
      <c r="AL24" s="309" t="str">
        <f>IF(AND('Mapa final'!$I$15="Media",'Mapa final'!$M$15="Catastrófico"),CONCATENATE("R",'Mapa final'!$A$15),"")</f>
        <v/>
      </c>
      <c r="AM24" s="310"/>
      <c r="AN24" s="81"/>
      <c r="AO24" s="360"/>
      <c r="AP24" s="361"/>
      <c r="AQ24" s="361"/>
      <c r="AR24" s="361"/>
      <c r="AS24" s="361"/>
      <c r="AT24" s="362"/>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337"/>
      <c r="C25" s="337"/>
      <c r="D25" s="338"/>
      <c r="E25" s="330"/>
      <c r="F25" s="331"/>
      <c r="G25" s="331"/>
      <c r="H25" s="331"/>
      <c r="I25" s="332"/>
      <c r="J25" s="299"/>
      <c r="K25" s="300"/>
      <c r="L25" s="300"/>
      <c r="M25" s="300"/>
      <c r="N25" s="300"/>
      <c r="O25" s="301"/>
      <c r="P25" s="299"/>
      <c r="Q25" s="300"/>
      <c r="R25" s="300"/>
      <c r="S25" s="300"/>
      <c r="T25" s="300"/>
      <c r="U25" s="301"/>
      <c r="V25" s="299"/>
      <c r="W25" s="300"/>
      <c r="X25" s="300"/>
      <c r="Y25" s="300"/>
      <c r="Z25" s="300"/>
      <c r="AA25" s="301"/>
      <c r="AB25" s="317"/>
      <c r="AC25" s="318"/>
      <c r="AD25" s="318"/>
      <c r="AE25" s="318"/>
      <c r="AF25" s="318"/>
      <c r="AG25" s="319"/>
      <c r="AH25" s="308"/>
      <c r="AI25" s="309"/>
      <c r="AJ25" s="309"/>
      <c r="AK25" s="309"/>
      <c r="AL25" s="309"/>
      <c r="AM25" s="310"/>
      <c r="AN25" s="81"/>
      <c r="AO25" s="360"/>
      <c r="AP25" s="361"/>
      <c r="AQ25" s="361"/>
      <c r="AR25" s="361"/>
      <c r="AS25" s="361"/>
      <c r="AT25" s="362"/>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337"/>
      <c r="C26" s="337"/>
      <c r="D26" s="338"/>
      <c r="E26" s="330"/>
      <c r="F26" s="331"/>
      <c r="G26" s="331"/>
      <c r="H26" s="331"/>
      <c r="I26" s="332"/>
      <c r="J26" s="299" t="str">
        <f>IF(AND('Mapa final'!$I$18="Media",'Mapa final'!$M$18="Leve"),CONCATENATE("R",'Mapa final'!$A$18),"")</f>
        <v/>
      </c>
      <c r="K26" s="300"/>
      <c r="L26" s="300" t="str">
        <f>IF(AND('Mapa final'!$I$20="Media",'Mapa final'!$M$20="Leve"),CONCATENATE("R",'Mapa final'!$A$20),"")</f>
        <v/>
      </c>
      <c r="M26" s="300"/>
      <c r="N26" s="300" t="str">
        <f>IF(AND('Mapa final'!$I$22="Media",'Mapa final'!$M$22="Leve"),CONCATENATE("R",'Mapa final'!$A$22),"")</f>
        <v/>
      </c>
      <c r="O26" s="301"/>
      <c r="P26" s="299" t="str">
        <f>IF(AND('Mapa final'!$I$18="Media",'Mapa final'!$M$18="Menor"),CONCATENATE("R",'Mapa final'!$A$18),"")</f>
        <v/>
      </c>
      <c r="Q26" s="300"/>
      <c r="R26" s="300" t="str">
        <f>IF(AND('Mapa final'!$I$20="Media",'Mapa final'!$M$20="Menor"),CONCATENATE("R",'Mapa final'!$A$20),"")</f>
        <v/>
      </c>
      <c r="S26" s="300"/>
      <c r="T26" s="300" t="str">
        <f>IF(AND('Mapa final'!$I$22="Media",'Mapa final'!$M$22="Menor"),CONCATENATE("R",'Mapa final'!$A$22),"")</f>
        <v/>
      </c>
      <c r="U26" s="301"/>
      <c r="V26" s="299" t="str">
        <f>IF(AND('Mapa final'!$I$18="Media",'Mapa final'!$M$18="Moderado"),CONCATENATE("R",'Mapa final'!$A$18),"")</f>
        <v/>
      </c>
      <c r="W26" s="300"/>
      <c r="X26" s="300" t="str">
        <f>IF(AND('Mapa final'!$I$20="Media",'Mapa final'!$M$20="Moderado"),CONCATENATE("R",'Mapa final'!$A$20),"")</f>
        <v>R8</v>
      </c>
      <c r="Y26" s="300"/>
      <c r="Z26" s="300" t="str">
        <f>IF(AND('Mapa final'!$I$22="Media",'Mapa final'!$M$22="Moderado"),CONCATENATE("R",'Mapa final'!$A$22),"")</f>
        <v>R9</v>
      </c>
      <c r="AA26" s="301"/>
      <c r="AB26" s="317" t="str">
        <f>IF(AND('Mapa final'!$I$18="Media",'Mapa final'!$M$18="Mayor"),CONCATENATE("R",'Mapa final'!$A$18),"")</f>
        <v/>
      </c>
      <c r="AC26" s="318"/>
      <c r="AD26" s="318" t="str">
        <f>IF(AND('Mapa final'!$I$20="Media",'Mapa final'!$M$20="Mayor"),CONCATENATE("R",'Mapa final'!$A$20),"")</f>
        <v/>
      </c>
      <c r="AE26" s="318"/>
      <c r="AF26" s="318" t="str">
        <f>IF(AND('Mapa final'!$I$22="Media",'Mapa final'!$M$22="Mayor"),CONCATENATE("R",'Mapa final'!$A$22),"")</f>
        <v/>
      </c>
      <c r="AG26" s="319"/>
      <c r="AH26" s="308" t="str">
        <f>IF(AND('Mapa final'!$I$18="Media",'Mapa final'!$M$18="Catastrófico"),CONCATENATE("R",'Mapa final'!$A$18),"")</f>
        <v/>
      </c>
      <c r="AI26" s="309"/>
      <c r="AJ26" s="309" t="str">
        <f>IF(AND('Mapa final'!$I$20="Media",'Mapa final'!$M$20="Catastrófico"),CONCATENATE("R",'Mapa final'!$A$20),"")</f>
        <v/>
      </c>
      <c r="AK26" s="309"/>
      <c r="AL26" s="309" t="str">
        <f>IF(AND('Mapa final'!$I$22="Media",'Mapa final'!$M$22="Catastrófico"),CONCATENATE("R",'Mapa final'!$A$22),"")</f>
        <v/>
      </c>
      <c r="AM26" s="310"/>
      <c r="AN26" s="81"/>
      <c r="AO26" s="360"/>
      <c r="AP26" s="361"/>
      <c r="AQ26" s="361"/>
      <c r="AR26" s="361"/>
      <c r="AS26" s="361"/>
      <c r="AT26" s="362"/>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337"/>
      <c r="C27" s="337"/>
      <c r="D27" s="338"/>
      <c r="E27" s="330"/>
      <c r="F27" s="331"/>
      <c r="G27" s="331"/>
      <c r="H27" s="331"/>
      <c r="I27" s="332"/>
      <c r="J27" s="299"/>
      <c r="K27" s="300"/>
      <c r="L27" s="300"/>
      <c r="M27" s="300"/>
      <c r="N27" s="300"/>
      <c r="O27" s="301"/>
      <c r="P27" s="299"/>
      <c r="Q27" s="300"/>
      <c r="R27" s="300"/>
      <c r="S27" s="300"/>
      <c r="T27" s="300"/>
      <c r="U27" s="301"/>
      <c r="V27" s="299"/>
      <c r="W27" s="300"/>
      <c r="X27" s="300"/>
      <c r="Y27" s="300"/>
      <c r="Z27" s="300"/>
      <c r="AA27" s="301"/>
      <c r="AB27" s="317"/>
      <c r="AC27" s="318"/>
      <c r="AD27" s="318"/>
      <c r="AE27" s="318"/>
      <c r="AF27" s="318"/>
      <c r="AG27" s="319"/>
      <c r="AH27" s="308"/>
      <c r="AI27" s="309"/>
      <c r="AJ27" s="309"/>
      <c r="AK27" s="309"/>
      <c r="AL27" s="309"/>
      <c r="AM27" s="310"/>
      <c r="AN27" s="81"/>
      <c r="AO27" s="360"/>
      <c r="AP27" s="361"/>
      <c r="AQ27" s="361"/>
      <c r="AR27" s="361"/>
      <c r="AS27" s="361"/>
      <c r="AT27" s="362"/>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337"/>
      <c r="C28" s="337"/>
      <c r="D28" s="338"/>
      <c r="E28" s="330"/>
      <c r="F28" s="331"/>
      <c r="G28" s="331"/>
      <c r="H28" s="331"/>
      <c r="I28" s="332"/>
      <c r="J28" s="299" t="str">
        <f>IF(AND('Mapa final'!$I$24="Media",'Mapa final'!$M$24="Leve"),CONCATENATE("R",'Mapa final'!$A$24),"")</f>
        <v/>
      </c>
      <c r="K28" s="300"/>
      <c r="L28" s="300" t="str">
        <f>IF(AND('Mapa final'!$I$43="Media",'Mapa final'!$M$43="Leve"),CONCATENATE("R",'Mapa final'!$A$43),"")</f>
        <v/>
      </c>
      <c r="M28" s="300"/>
      <c r="N28" s="300" t="str">
        <f>IF(AND('Mapa final'!$I$49="Media",'Mapa final'!$M$49="Leve"),CONCATENATE("R",'Mapa final'!$A$49),"")</f>
        <v/>
      </c>
      <c r="O28" s="301"/>
      <c r="P28" s="299" t="str">
        <f>IF(AND('Mapa final'!$I$24="Media",'Mapa final'!$M$24="Menor"),CONCATENATE("R",'Mapa final'!$A$24),"")</f>
        <v/>
      </c>
      <c r="Q28" s="300"/>
      <c r="R28" s="300" t="str">
        <f>IF(AND('Mapa final'!$I$43="Media",'Mapa final'!$M$43="Menor"),CONCATENATE("R",'Mapa final'!$A$43),"")</f>
        <v/>
      </c>
      <c r="S28" s="300"/>
      <c r="T28" s="300" t="str">
        <f>IF(AND('Mapa final'!$I$49="Media",'Mapa final'!$M$49="Menor"),CONCATENATE("R",'Mapa final'!$A$49),"")</f>
        <v/>
      </c>
      <c r="U28" s="301"/>
      <c r="V28" s="299" t="str">
        <f>IF(AND('Mapa final'!$I$24="Media",'Mapa final'!$M$24="Moderado"),CONCATENATE("R",'Mapa final'!$A$24),"")</f>
        <v/>
      </c>
      <c r="W28" s="300"/>
      <c r="X28" s="300" t="str">
        <f>IF(AND('Mapa final'!$I$43="Media",'Mapa final'!$M$43="Moderado"),CONCATENATE("R",'Mapa final'!$A$43),"")</f>
        <v/>
      </c>
      <c r="Y28" s="300"/>
      <c r="Z28" s="300" t="str">
        <f>IF(AND('Mapa final'!$I$49="Media",'Mapa final'!$M$49="Moderado"),CONCATENATE("R",'Mapa final'!$A$49),"")</f>
        <v/>
      </c>
      <c r="AA28" s="301"/>
      <c r="AB28" s="317" t="str">
        <f>IF(AND('Mapa final'!$I$24="Media",'Mapa final'!$M$24="Mayor"),CONCATENATE("R",'Mapa final'!$A$24),"")</f>
        <v/>
      </c>
      <c r="AC28" s="318"/>
      <c r="AD28" s="318" t="str">
        <f>IF(AND('Mapa final'!$I$43="Media",'Mapa final'!$M$43="Mayor"),CONCATENATE("R",'Mapa final'!$A$43),"")</f>
        <v/>
      </c>
      <c r="AE28" s="318"/>
      <c r="AF28" s="318" t="str">
        <f>IF(AND('Mapa final'!$I$49="Media",'Mapa final'!$M$49="Mayor"),CONCATENATE("R",'Mapa final'!$A$49),"")</f>
        <v/>
      </c>
      <c r="AG28" s="319"/>
      <c r="AH28" s="308" t="str">
        <f>IF(AND('Mapa final'!$I$24="Media",'Mapa final'!$M$24="Catastrófico"),CONCATENATE("R",'Mapa final'!$A$24),"")</f>
        <v/>
      </c>
      <c r="AI28" s="309"/>
      <c r="AJ28" s="309" t="str">
        <f>IF(AND('Mapa final'!$I$43="Media",'Mapa final'!$M$43="Catastrófico"),CONCATENATE("R",'Mapa final'!$A$43),"")</f>
        <v/>
      </c>
      <c r="AK28" s="309"/>
      <c r="AL28" s="309" t="str">
        <f>IF(AND('Mapa final'!$I$49="Media",'Mapa final'!$M$49="Catastrófico"),CONCATENATE("R",'Mapa final'!$A$49),"")</f>
        <v/>
      </c>
      <c r="AM28" s="310"/>
      <c r="AN28" s="81"/>
      <c r="AO28" s="360"/>
      <c r="AP28" s="361"/>
      <c r="AQ28" s="361"/>
      <c r="AR28" s="361"/>
      <c r="AS28" s="361"/>
      <c r="AT28" s="362"/>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337"/>
      <c r="C29" s="337"/>
      <c r="D29" s="338"/>
      <c r="E29" s="333"/>
      <c r="F29" s="334"/>
      <c r="G29" s="334"/>
      <c r="H29" s="334"/>
      <c r="I29" s="335"/>
      <c r="J29" s="299"/>
      <c r="K29" s="300"/>
      <c r="L29" s="300"/>
      <c r="M29" s="300"/>
      <c r="N29" s="300"/>
      <c r="O29" s="301"/>
      <c r="P29" s="302"/>
      <c r="Q29" s="303"/>
      <c r="R29" s="303"/>
      <c r="S29" s="303"/>
      <c r="T29" s="303"/>
      <c r="U29" s="304"/>
      <c r="V29" s="302"/>
      <c r="W29" s="303"/>
      <c r="X29" s="303"/>
      <c r="Y29" s="303"/>
      <c r="Z29" s="303"/>
      <c r="AA29" s="304"/>
      <c r="AB29" s="320"/>
      <c r="AC29" s="321"/>
      <c r="AD29" s="321"/>
      <c r="AE29" s="321"/>
      <c r="AF29" s="321"/>
      <c r="AG29" s="322"/>
      <c r="AH29" s="311"/>
      <c r="AI29" s="312"/>
      <c r="AJ29" s="312"/>
      <c r="AK29" s="312"/>
      <c r="AL29" s="312"/>
      <c r="AM29" s="313"/>
      <c r="AN29" s="81"/>
      <c r="AO29" s="363"/>
      <c r="AP29" s="364"/>
      <c r="AQ29" s="364"/>
      <c r="AR29" s="364"/>
      <c r="AS29" s="364"/>
      <c r="AT29" s="365"/>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337"/>
      <c r="C30" s="337"/>
      <c r="D30" s="338"/>
      <c r="E30" s="327" t="s">
        <v>112</v>
      </c>
      <c r="F30" s="328"/>
      <c r="G30" s="328"/>
      <c r="H30" s="328"/>
      <c r="I30" s="328"/>
      <c r="J30" s="296" t="str">
        <f>IF(AND('Mapa final'!$I$7="Baja",'Mapa final'!$M$7="Leve"),CONCATENATE("R",'Mapa final'!$A$7),"")</f>
        <v/>
      </c>
      <c r="K30" s="297"/>
      <c r="L30" s="297" t="str">
        <f>IF(AND('Mapa final'!$I$9="Baja",'Mapa final'!$M$9="Leve"),CONCATENATE("R",'Mapa final'!$A$9),"")</f>
        <v/>
      </c>
      <c r="M30" s="297"/>
      <c r="N30" s="297" t="str">
        <f>IF(AND('Mapa final'!$I$11="Baja",'Mapa final'!$M$11="Leve"),CONCATENATE("R",'Mapa final'!$A$11),"")</f>
        <v/>
      </c>
      <c r="O30" s="298"/>
      <c r="P30" s="306" t="str">
        <f>IF(AND('Mapa final'!$I$7="Baja",'Mapa final'!$M$7="Menor"),CONCATENATE("R",'Mapa final'!$A$7),"")</f>
        <v/>
      </c>
      <c r="Q30" s="306"/>
      <c r="R30" s="306" t="str">
        <f>IF(AND('Mapa final'!$I$9="Baja",'Mapa final'!$M$9="Menor"),CONCATENATE("R",'Mapa final'!$A$9),"")</f>
        <v/>
      </c>
      <c r="S30" s="306"/>
      <c r="T30" s="306" t="str">
        <f>IF(AND('Mapa final'!$I$11="Baja",'Mapa final'!$M$11="Menor"),CONCATENATE("R",'Mapa final'!$A$11),"")</f>
        <v/>
      </c>
      <c r="U30" s="307"/>
      <c r="V30" s="305" t="str">
        <f>IF(AND('Mapa final'!$I$7="Baja",'Mapa final'!$M$7="Moderado"),CONCATENATE("R",'Mapa final'!$A$7),"")</f>
        <v>R1</v>
      </c>
      <c r="W30" s="306"/>
      <c r="X30" s="306" t="str">
        <f>IF(AND('Mapa final'!$I$9="Baja",'Mapa final'!$M$9="Moderado"),CONCATENATE("R",'Mapa final'!$A$9),"")</f>
        <v>R2</v>
      </c>
      <c r="Y30" s="306"/>
      <c r="Z30" s="306" t="str">
        <f>IF(AND('Mapa final'!$I$11="Baja",'Mapa final'!$M$11="Moderado"),CONCATENATE("R",'Mapa final'!$A$11),"")</f>
        <v/>
      </c>
      <c r="AA30" s="307"/>
      <c r="AB30" s="323" t="str">
        <f>IF(AND('Mapa final'!$I$7="Baja",'Mapa final'!$M$7="Mayor"),CONCATENATE("R",'Mapa final'!$A$7),"")</f>
        <v/>
      </c>
      <c r="AC30" s="324"/>
      <c r="AD30" s="324" t="str">
        <f>IF(AND('Mapa final'!$I$9="Baja",'Mapa final'!$M$9="Mayor"),CONCATENATE("R",'Mapa final'!$A$9),"")</f>
        <v/>
      </c>
      <c r="AE30" s="324"/>
      <c r="AF30" s="324" t="str">
        <f>IF(AND('Mapa final'!$I$11="Baja",'Mapa final'!$M$11="Mayor"),CONCATENATE("R",'Mapa final'!$A$11),"")</f>
        <v/>
      </c>
      <c r="AG30" s="325"/>
      <c r="AH30" s="314" t="str">
        <f>IF(AND('Mapa final'!$I$7="Baja",'Mapa final'!$M$7="Catastrófico"),CONCATENATE("R",'Mapa final'!$A$7),"")</f>
        <v/>
      </c>
      <c r="AI30" s="315"/>
      <c r="AJ30" s="315" t="str">
        <f>IF(AND('Mapa final'!$I$9="Baja",'Mapa final'!$M$9="Catastrófico"),CONCATENATE("R",'Mapa final'!$A$9),"")</f>
        <v/>
      </c>
      <c r="AK30" s="315"/>
      <c r="AL30" s="315" t="str">
        <f>IF(AND('Mapa final'!$I$11="Baja",'Mapa final'!$M$11="Catastrófico"),CONCATENATE("R",'Mapa final'!$A$11),"")</f>
        <v/>
      </c>
      <c r="AM30" s="316"/>
      <c r="AN30" s="81"/>
      <c r="AO30" s="366" t="s">
        <v>80</v>
      </c>
      <c r="AP30" s="367"/>
      <c r="AQ30" s="367"/>
      <c r="AR30" s="367"/>
      <c r="AS30" s="367"/>
      <c r="AT30" s="368"/>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337"/>
      <c r="C31" s="337"/>
      <c r="D31" s="338"/>
      <c r="E31" s="330"/>
      <c r="F31" s="331"/>
      <c r="G31" s="331"/>
      <c r="H31" s="331"/>
      <c r="I31" s="331"/>
      <c r="J31" s="290"/>
      <c r="K31" s="291"/>
      <c r="L31" s="291"/>
      <c r="M31" s="291"/>
      <c r="N31" s="291"/>
      <c r="O31" s="292"/>
      <c r="P31" s="300"/>
      <c r="Q31" s="300"/>
      <c r="R31" s="300"/>
      <c r="S31" s="300"/>
      <c r="T31" s="300"/>
      <c r="U31" s="301"/>
      <c r="V31" s="299"/>
      <c r="W31" s="300"/>
      <c r="X31" s="300"/>
      <c r="Y31" s="300"/>
      <c r="Z31" s="300"/>
      <c r="AA31" s="301"/>
      <c r="AB31" s="317"/>
      <c r="AC31" s="318"/>
      <c r="AD31" s="318"/>
      <c r="AE31" s="318"/>
      <c r="AF31" s="318"/>
      <c r="AG31" s="319"/>
      <c r="AH31" s="308"/>
      <c r="AI31" s="309"/>
      <c r="AJ31" s="309"/>
      <c r="AK31" s="309"/>
      <c r="AL31" s="309"/>
      <c r="AM31" s="310"/>
      <c r="AN31" s="81"/>
      <c r="AO31" s="369"/>
      <c r="AP31" s="370"/>
      <c r="AQ31" s="370"/>
      <c r="AR31" s="370"/>
      <c r="AS31" s="370"/>
      <c r="AT31" s="37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337"/>
      <c r="C32" s="337"/>
      <c r="D32" s="338"/>
      <c r="E32" s="330"/>
      <c r="F32" s="331"/>
      <c r="G32" s="331"/>
      <c r="H32" s="331"/>
      <c r="I32" s="331"/>
      <c r="J32" s="290" t="str">
        <f>IF(AND('Mapa final'!$I$12="Baja",'Mapa final'!$M$12="Leve"),CONCATENATE("R",'Mapa final'!$A$12),"")</f>
        <v/>
      </c>
      <c r="K32" s="291"/>
      <c r="L32" s="291" t="str">
        <f>IF(AND('Mapa final'!$I$13="Baja",'Mapa final'!$M$13="Leve"),CONCATENATE("R",'Mapa final'!$A$13),"")</f>
        <v/>
      </c>
      <c r="M32" s="291"/>
      <c r="N32" s="291" t="str">
        <f>IF(AND('Mapa final'!$I$15="Baja",'Mapa final'!$M$15="Leve"),CONCATENATE("R",'Mapa final'!$A$15),"")</f>
        <v/>
      </c>
      <c r="O32" s="292"/>
      <c r="P32" s="300" t="str">
        <f>IF(AND('Mapa final'!$I$12="Baja",'Mapa final'!$M$12="Menor"),CONCATENATE("R",'Mapa final'!$A$12),"")</f>
        <v>R4</v>
      </c>
      <c r="Q32" s="300"/>
      <c r="R32" s="300" t="str">
        <f>IF(AND('Mapa final'!$I$13="Baja",'Mapa final'!$M$13="Menor"),CONCATENATE("R",'Mapa final'!$A$13),"")</f>
        <v>R5</v>
      </c>
      <c r="S32" s="300"/>
      <c r="T32" s="300" t="str">
        <f>IF(AND('Mapa final'!$I$15="Baja",'Mapa final'!$M$15="Menor"),CONCATENATE("R",'Mapa final'!$A$15),"")</f>
        <v/>
      </c>
      <c r="U32" s="301"/>
      <c r="V32" s="299" t="str">
        <f>IF(AND('Mapa final'!$I$12="Baja",'Mapa final'!$M$12="Moderado"),CONCATENATE("R",'Mapa final'!$A$12),"")</f>
        <v/>
      </c>
      <c r="W32" s="300"/>
      <c r="X32" s="300" t="str">
        <f>IF(AND('Mapa final'!$I$13="Baja",'Mapa final'!$M$13="Moderado"),CONCATENATE("R",'Mapa final'!$A$13),"")</f>
        <v/>
      </c>
      <c r="Y32" s="300"/>
      <c r="Z32" s="300" t="str">
        <f>IF(AND('Mapa final'!$I$15="Baja",'Mapa final'!$M$15="Moderado"),CONCATENATE("R",'Mapa final'!$A$15),"")</f>
        <v/>
      </c>
      <c r="AA32" s="301"/>
      <c r="AB32" s="317" t="str">
        <f>IF(AND('Mapa final'!$I$12="Baja",'Mapa final'!$M$12="Mayor"),CONCATENATE("R",'Mapa final'!$A$12),"")</f>
        <v/>
      </c>
      <c r="AC32" s="318"/>
      <c r="AD32" s="318" t="str">
        <f>IF(AND('Mapa final'!$I$13="Baja",'Mapa final'!$M$13="Mayor"),CONCATENATE("R",'Mapa final'!$A$13),"")</f>
        <v/>
      </c>
      <c r="AE32" s="318"/>
      <c r="AF32" s="318" t="str">
        <f>IF(AND('Mapa final'!$I$15="Baja",'Mapa final'!$M$15="Mayor"),CONCATENATE("R",'Mapa final'!$A$15),"")</f>
        <v/>
      </c>
      <c r="AG32" s="319"/>
      <c r="AH32" s="308" t="str">
        <f>IF(AND('Mapa final'!$I$12="Baja",'Mapa final'!$M$12="Catastrófico"),CONCATENATE("R",'Mapa final'!$A$12),"")</f>
        <v/>
      </c>
      <c r="AI32" s="309"/>
      <c r="AJ32" s="309" t="str">
        <f>IF(AND('Mapa final'!$I$13="Baja",'Mapa final'!$M$13="Catastrófico"),CONCATENATE("R",'Mapa final'!$A$13),"")</f>
        <v/>
      </c>
      <c r="AK32" s="309"/>
      <c r="AL32" s="309" t="str">
        <f>IF(AND('Mapa final'!$I$15="Baja",'Mapa final'!$M$15="Catastrófico"),CONCATENATE("R",'Mapa final'!$A$15),"")</f>
        <v/>
      </c>
      <c r="AM32" s="310"/>
      <c r="AN32" s="81"/>
      <c r="AO32" s="369"/>
      <c r="AP32" s="370"/>
      <c r="AQ32" s="370"/>
      <c r="AR32" s="370"/>
      <c r="AS32" s="370"/>
      <c r="AT32" s="37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337"/>
      <c r="C33" s="337"/>
      <c r="D33" s="338"/>
      <c r="E33" s="330"/>
      <c r="F33" s="331"/>
      <c r="G33" s="331"/>
      <c r="H33" s="331"/>
      <c r="I33" s="331"/>
      <c r="J33" s="290"/>
      <c r="K33" s="291"/>
      <c r="L33" s="291"/>
      <c r="M33" s="291"/>
      <c r="N33" s="291"/>
      <c r="O33" s="292"/>
      <c r="P33" s="300"/>
      <c r="Q33" s="300"/>
      <c r="R33" s="300"/>
      <c r="S33" s="300"/>
      <c r="T33" s="300"/>
      <c r="U33" s="301"/>
      <c r="V33" s="299"/>
      <c r="W33" s="300"/>
      <c r="X33" s="300"/>
      <c r="Y33" s="300"/>
      <c r="Z33" s="300"/>
      <c r="AA33" s="301"/>
      <c r="AB33" s="317"/>
      <c r="AC33" s="318"/>
      <c r="AD33" s="318"/>
      <c r="AE33" s="318"/>
      <c r="AF33" s="318"/>
      <c r="AG33" s="319"/>
      <c r="AH33" s="308"/>
      <c r="AI33" s="309"/>
      <c r="AJ33" s="309"/>
      <c r="AK33" s="309"/>
      <c r="AL33" s="309"/>
      <c r="AM33" s="310"/>
      <c r="AN33" s="81"/>
      <c r="AO33" s="369"/>
      <c r="AP33" s="370"/>
      <c r="AQ33" s="370"/>
      <c r="AR33" s="370"/>
      <c r="AS33" s="370"/>
      <c r="AT33" s="37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337"/>
      <c r="C34" s="337"/>
      <c r="D34" s="338"/>
      <c r="E34" s="330"/>
      <c r="F34" s="331"/>
      <c r="G34" s="331"/>
      <c r="H34" s="331"/>
      <c r="I34" s="331"/>
      <c r="J34" s="290" t="str">
        <f>IF(AND('Mapa final'!$I$18="Baja",'Mapa final'!$M$18="Leve"),CONCATENATE("R",'Mapa final'!$A$18),"")</f>
        <v/>
      </c>
      <c r="K34" s="291"/>
      <c r="L34" s="291" t="str">
        <f>IF(AND('Mapa final'!$I$20="Baja",'Mapa final'!$M$20="Leve"),CONCATENATE("R",'Mapa final'!$A$20),"")</f>
        <v/>
      </c>
      <c r="M34" s="291"/>
      <c r="N34" s="291" t="str">
        <f>IF(AND('Mapa final'!$I$22="Baja",'Mapa final'!$M$22="Leve"),CONCATENATE("R",'Mapa final'!$A$22),"")</f>
        <v/>
      </c>
      <c r="O34" s="292"/>
      <c r="P34" s="300" t="str">
        <f>IF(AND('Mapa final'!$I$18="Baja",'Mapa final'!$M$18="Menor"),CONCATENATE("R",'Mapa final'!$A$18),"")</f>
        <v>R7</v>
      </c>
      <c r="Q34" s="300"/>
      <c r="R34" s="300" t="str">
        <f>IF(AND('Mapa final'!$I$20="Baja",'Mapa final'!$M$20="Menor"),CONCATENATE("R",'Mapa final'!$A$20),"")</f>
        <v/>
      </c>
      <c r="S34" s="300"/>
      <c r="T34" s="300" t="str">
        <f>IF(AND('Mapa final'!$I$22="Baja",'Mapa final'!$M$22="Menor"),CONCATENATE("R",'Mapa final'!$A$22),"")</f>
        <v/>
      </c>
      <c r="U34" s="301"/>
      <c r="V34" s="299" t="str">
        <f>IF(AND('Mapa final'!$I$18="Baja",'Mapa final'!$M$18="Moderado"),CONCATENATE("R",'Mapa final'!$A$18),"")</f>
        <v/>
      </c>
      <c r="W34" s="300"/>
      <c r="X34" s="300" t="str">
        <f>IF(AND('Mapa final'!$I$20="Baja",'Mapa final'!$M$20="Moderado"),CONCATENATE("R",'Mapa final'!$A$20),"")</f>
        <v/>
      </c>
      <c r="Y34" s="300"/>
      <c r="Z34" s="300" t="str">
        <f>IF(AND('Mapa final'!$I$22="Baja",'Mapa final'!$M$22="Moderado"),CONCATENATE("R",'Mapa final'!$A$22),"")</f>
        <v/>
      </c>
      <c r="AA34" s="301"/>
      <c r="AB34" s="317" t="str">
        <f>IF(AND('Mapa final'!$I$18="Baja",'Mapa final'!$M$18="Mayor"),CONCATENATE("R",'Mapa final'!$A$18),"")</f>
        <v/>
      </c>
      <c r="AC34" s="318"/>
      <c r="AD34" s="318" t="str">
        <f>IF(AND('Mapa final'!$I$20="Baja",'Mapa final'!$M$20="Mayor"),CONCATENATE("R",'Mapa final'!$A$20),"")</f>
        <v/>
      </c>
      <c r="AE34" s="318"/>
      <c r="AF34" s="318" t="str">
        <f>IF(AND('Mapa final'!$I$22="Baja",'Mapa final'!$M$22="Mayor"),CONCATENATE("R",'Mapa final'!$A$22),"")</f>
        <v/>
      </c>
      <c r="AG34" s="319"/>
      <c r="AH34" s="308" t="str">
        <f>IF(AND('Mapa final'!$I$18="Baja",'Mapa final'!$M$18="Catastrófico"),CONCATENATE("R",'Mapa final'!$A$18),"")</f>
        <v/>
      </c>
      <c r="AI34" s="309"/>
      <c r="AJ34" s="309" t="str">
        <f>IF(AND('Mapa final'!$I$20="Baja",'Mapa final'!$M$20="Catastrófico"),CONCATENATE("R",'Mapa final'!$A$20),"")</f>
        <v/>
      </c>
      <c r="AK34" s="309"/>
      <c r="AL34" s="309" t="str">
        <f>IF(AND('Mapa final'!$I$22="Baja",'Mapa final'!$M$22="Catastrófico"),CONCATENATE("R",'Mapa final'!$A$22),"")</f>
        <v/>
      </c>
      <c r="AM34" s="310"/>
      <c r="AN34" s="81"/>
      <c r="AO34" s="369"/>
      <c r="AP34" s="370"/>
      <c r="AQ34" s="370"/>
      <c r="AR34" s="370"/>
      <c r="AS34" s="370"/>
      <c r="AT34" s="37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337"/>
      <c r="C35" s="337"/>
      <c r="D35" s="338"/>
      <c r="E35" s="330"/>
      <c r="F35" s="331"/>
      <c r="G35" s="331"/>
      <c r="H35" s="331"/>
      <c r="I35" s="331"/>
      <c r="J35" s="290"/>
      <c r="K35" s="291"/>
      <c r="L35" s="291"/>
      <c r="M35" s="291"/>
      <c r="N35" s="291"/>
      <c r="O35" s="292"/>
      <c r="P35" s="300"/>
      <c r="Q35" s="300"/>
      <c r="R35" s="300"/>
      <c r="S35" s="300"/>
      <c r="T35" s="300"/>
      <c r="U35" s="301"/>
      <c r="V35" s="299"/>
      <c r="W35" s="300"/>
      <c r="X35" s="300"/>
      <c r="Y35" s="300"/>
      <c r="Z35" s="300"/>
      <c r="AA35" s="301"/>
      <c r="AB35" s="317"/>
      <c r="AC35" s="318"/>
      <c r="AD35" s="318"/>
      <c r="AE35" s="318"/>
      <c r="AF35" s="318"/>
      <c r="AG35" s="319"/>
      <c r="AH35" s="308"/>
      <c r="AI35" s="309"/>
      <c r="AJ35" s="309"/>
      <c r="AK35" s="309"/>
      <c r="AL35" s="309"/>
      <c r="AM35" s="310"/>
      <c r="AN35" s="81"/>
      <c r="AO35" s="369"/>
      <c r="AP35" s="370"/>
      <c r="AQ35" s="370"/>
      <c r="AR35" s="370"/>
      <c r="AS35" s="370"/>
      <c r="AT35" s="37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337"/>
      <c r="C36" s="337"/>
      <c r="D36" s="338"/>
      <c r="E36" s="330"/>
      <c r="F36" s="331"/>
      <c r="G36" s="331"/>
      <c r="H36" s="331"/>
      <c r="I36" s="331"/>
      <c r="J36" s="290" t="str">
        <f>IF(AND('Mapa final'!$I$24="Baja",'Mapa final'!$M$24="Leve"),CONCATENATE("R",'Mapa final'!$A$24),"")</f>
        <v>R10</v>
      </c>
      <c r="K36" s="291"/>
      <c r="L36" s="291" t="str">
        <f>IF(AND('Mapa final'!$I$43="Baja",'Mapa final'!$M$43="Leve"),CONCATENATE("R",'Mapa final'!$A$43),"")</f>
        <v/>
      </c>
      <c r="M36" s="291"/>
      <c r="N36" s="291" t="str">
        <f>IF(AND('Mapa final'!$I$49="Baja",'Mapa final'!$M$49="Leve"),CONCATENATE("R",'Mapa final'!$A$49),"")</f>
        <v/>
      </c>
      <c r="O36" s="292"/>
      <c r="P36" s="300" t="str">
        <f>IF(AND('Mapa final'!$I$24="Baja",'Mapa final'!$M$24="Menor"),CONCATENATE("R",'Mapa final'!$A$24),"")</f>
        <v/>
      </c>
      <c r="Q36" s="300"/>
      <c r="R36" s="300" t="str">
        <f>IF(AND('Mapa final'!$I$43="Baja",'Mapa final'!$M$43="Menor"),CONCATENATE("R",'Mapa final'!$A$43),"")</f>
        <v/>
      </c>
      <c r="S36" s="300"/>
      <c r="T36" s="300" t="str">
        <f>IF(AND('Mapa final'!$I$49="Baja",'Mapa final'!$M$49="Menor"),CONCATENATE("R",'Mapa final'!$A$49),"")</f>
        <v/>
      </c>
      <c r="U36" s="301"/>
      <c r="V36" s="299" t="str">
        <f>IF(AND('Mapa final'!$I$24="Baja",'Mapa final'!$M$24="Moderado"),CONCATENATE("R",'Mapa final'!$A$24),"")</f>
        <v/>
      </c>
      <c r="W36" s="300"/>
      <c r="X36" s="300" t="str">
        <f>IF(AND('Mapa final'!$I$43="Baja",'Mapa final'!$M$43="Moderado"),CONCATENATE("R",'Mapa final'!$A$43),"")</f>
        <v/>
      </c>
      <c r="Y36" s="300"/>
      <c r="Z36" s="300" t="str">
        <f>IF(AND('Mapa final'!$I$49="Baja",'Mapa final'!$M$49="Moderado"),CONCATENATE("R",'Mapa final'!$A$49),"")</f>
        <v/>
      </c>
      <c r="AA36" s="301"/>
      <c r="AB36" s="317" t="str">
        <f>IF(AND('Mapa final'!$I$24="Baja",'Mapa final'!$M$24="Mayor"),CONCATENATE("R",'Mapa final'!$A$24),"")</f>
        <v/>
      </c>
      <c r="AC36" s="318"/>
      <c r="AD36" s="318" t="str">
        <f>IF(AND('Mapa final'!$I$43="Baja",'Mapa final'!$M$43="Mayor"),CONCATENATE("R",'Mapa final'!$A$43),"")</f>
        <v/>
      </c>
      <c r="AE36" s="318"/>
      <c r="AF36" s="318" t="str">
        <f>IF(AND('Mapa final'!$I$49="Baja",'Mapa final'!$M$49="Mayor"),CONCATENATE("R",'Mapa final'!$A$49),"")</f>
        <v/>
      </c>
      <c r="AG36" s="319"/>
      <c r="AH36" s="308" t="str">
        <f>IF(AND('Mapa final'!$I$24="Baja",'Mapa final'!$M$24="Catastrófico"),CONCATENATE("R",'Mapa final'!$A$24),"")</f>
        <v/>
      </c>
      <c r="AI36" s="309"/>
      <c r="AJ36" s="309" t="str">
        <f>IF(AND('Mapa final'!$I$43="Baja",'Mapa final'!$M$43="Catastrófico"),CONCATENATE("R",'Mapa final'!$A$43),"")</f>
        <v/>
      </c>
      <c r="AK36" s="309"/>
      <c r="AL36" s="309" t="str">
        <f>IF(AND('Mapa final'!$I$49="Baja",'Mapa final'!$M$49="Catastrófico"),CONCATENATE("R",'Mapa final'!$A$49),"")</f>
        <v/>
      </c>
      <c r="AM36" s="310"/>
      <c r="AN36" s="81"/>
      <c r="AO36" s="369"/>
      <c r="AP36" s="370"/>
      <c r="AQ36" s="370"/>
      <c r="AR36" s="370"/>
      <c r="AS36" s="370"/>
      <c r="AT36" s="37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337"/>
      <c r="C37" s="337"/>
      <c r="D37" s="338"/>
      <c r="E37" s="333"/>
      <c r="F37" s="334"/>
      <c r="G37" s="334"/>
      <c r="H37" s="334"/>
      <c r="I37" s="334"/>
      <c r="J37" s="293"/>
      <c r="K37" s="294"/>
      <c r="L37" s="294"/>
      <c r="M37" s="294"/>
      <c r="N37" s="294"/>
      <c r="O37" s="295"/>
      <c r="P37" s="303"/>
      <c r="Q37" s="303"/>
      <c r="R37" s="303"/>
      <c r="S37" s="303"/>
      <c r="T37" s="303"/>
      <c r="U37" s="304"/>
      <c r="V37" s="302"/>
      <c r="W37" s="303"/>
      <c r="X37" s="303"/>
      <c r="Y37" s="303"/>
      <c r="Z37" s="303"/>
      <c r="AA37" s="304"/>
      <c r="AB37" s="320"/>
      <c r="AC37" s="321"/>
      <c r="AD37" s="321"/>
      <c r="AE37" s="321"/>
      <c r="AF37" s="321"/>
      <c r="AG37" s="322"/>
      <c r="AH37" s="311"/>
      <c r="AI37" s="312"/>
      <c r="AJ37" s="312"/>
      <c r="AK37" s="312"/>
      <c r="AL37" s="312"/>
      <c r="AM37" s="313"/>
      <c r="AN37" s="81"/>
      <c r="AO37" s="372"/>
      <c r="AP37" s="373"/>
      <c r="AQ37" s="373"/>
      <c r="AR37" s="373"/>
      <c r="AS37" s="373"/>
      <c r="AT37" s="374"/>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337"/>
      <c r="C38" s="337"/>
      <c r="D38" s="338"/>
      <c r="E38" s="327" t="s">
        <v>111</v>
      </c>
      <c r="F38" s="328"/>
      <c r="G38" s="328"/>
      <c r="H38" s="328"/>
      <c r="I38" s="329"/>
      <c r="J38" s="296" t="str">
        <f>IF(AND('Mapa final'!$I$7="Muy Baja",'Mapa final'!$M$7="Leve"),CONCATENATE("R",'Mapa final'!$A$7),"")</f>
        <v/>
      </c>
      <c r="K38" s="297"/>
      <c r="L38" s="297" t="str">
        <f>IF(AND('Mapa final'!$I$9="Muy Baja",'Mapa final'!$M$9="Leve"),CONCATENATE("R",'Mapa final'!$A$9),"")</f>
        <v/>
      </c>
      <c r="M38" s="297"/>
      <c r="N38" s="297" t="str">
        <f>IF(AND('Mapa final'!$I$11="Muy Baja",'Mapa final'!$M$11="Leve"),CONCATENATE("R",'Mapa final'!$A$11),"")</f>
        <v/>
      </c>
      <c r="O38" s="298"/>
      <c r="P38" s="296" t="str">
        <f>IF(AND('Mapa final'!$I$7="Muy Baja",'Mapa final'!$M$7="Menor"),CONCATENATE("R",'Mapa final'!$A$7),"")</f>
        <v/>
      </c>
      <c r="Q38" s="297"/>
      <c r="R38" s="297" t="str">
        <f>IF(AND('Mapa final'!$I$9="Muy Baja",'Mapa final'!$M$9="Menor"),CONCATENATE("R",'Mapa final'!$A$9),"")</f>
        <v/>
      </c>
      <c r="S38" s="297"/>
      <c r="T38" s="297" t="str">
        <f>IF(AND('Mapa final'!$I$11="Muy Baja",'Mapa final'!$M$11="Menor"),CONCATENATE("R",'Mapa final'!$A$11),"")</f>
        <v>R3</v>
      </c>
      <c r="U38" s="298"/>
      <c r="V38" s="305" t="str">
        <f>IF(AND('Mapa final'!$I$7="Muy Baja",'Mapa final'!$M$7="Moderado"),CONCATENATE("R",'Mapa final'!$A$7),"")</f>
        <v/>
      </c>
      <c r="W38" s="306"/>
      <c r="X38" s="306" t="str">
        <f>IF(AND('Mapa final'!$I$9="Muy Baja",'Mapa final'!$M$9="Moderado"),CONCATENATE("R",'Mapa final'!$A$9),"")</f>
        <v/>
      </c>
      <c r="Y38" s="306"/>
      <c r="Z38" s="306" t="str">
        <f>IF(AND('Mapa final'!$I$11="Muy Baja",'Mapa final'!$M$11="Moderado"),CONCATENATE("R",'Mapa final'!$A$11),"")</f>
        <v/>
      </c>
      <c r="AA38" s="307"/>
      <c r="AB38" s="323" t="str">
        <f>IF(AND('Mapa final'!$I$7="Muy Baja",'Mapa final'!$M$7="Mayor"),CONCATENATE("R",'Mapa final'!$A$7),"")</f>
        <v/>
      </c>
      <c r="AC38" s="324"/>
      <c r="AD38" s="324" t="str">
        <f>IF(AND('Mapa final'!$I$9="Muy Baja",'Mapa final'!$M$9="Mayor"),CONCATENATE("R",'Mapa final'!$A$9),"")</f>
        <v/>
      </c>
      <c r="AE38" s="324"/>
      <c r="AF38" s="324" t="str">
        <f>IF(AND('Mapa final'!$I$11="Muy Baja",'Mapa final'!$M$11="Mayor"),CONCATENATE("R",'Mapa final'!$A$11),"")</f>
        <v/>
      </c>
      <c r="AG38" s="325"/>
      <c r="AH38" s="314" t="str">
        <f>IF(AND('Mapa final'!$I$7="Muy Baja",'Mapa final'!$M$7="Catastrófico"),CONCATENATE("R",'Mapa final'!$A$7),"")</f>
        <v/>
      </c>
      <c r="AI38" s="315"/>
      <c r="AJ38" s="315" t="str">
        <f>IF(AND('Mapa final'!$I$9="Muy Baja",'Mapa final'!$M$9="Catastrófico"),CONCATENATE("R",'Mapa final'!$A$9),"")</f>
        <v/>
      </c>
      <c r="AK38" s="315"/>
      <c r="AL38" s="315" t="str">
        <f>IF(AND('Mapa final'!$I$11="Muy Baja",'Mapa final'!$M$11="Catastrófico"),CONCATENATE("R",'Mapa final'!$A$11),"")</f>
        <v/>
      </c>
      <c r="AM38" s="316"/>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337"/>
      <c r="C39" s="337"/>
      <c r="D39" s="338"/>
      <c r="E39" s="330"/>
      <c r="F39" s="331"/>
      <c r="G39" s="331"/>
      <c r="H39" s="331"/>
      <c r="I39" s="332"/>
      <c r="J39" s="290"/>
      <c r="K39" s="291"/>
      <c r="L39" s="291"/>
      <c r="M39" s="291"/>
      <c r="N39" s="291"/>
      <c r="O39" s="292"/>
      <c r="P39" s="290"/>
      <c r="Q39" s="291"/>
      <c r="R39" s="291"/>
      <c r="S39" s="291"/>
      <c r="T39" s="291"/>
      <c r="U39" s="292"/>
      <c r="V39" s="299"/>
      <c r="W39" s="300"/>
      <c r="X39" s="300"/>
      <c r="Y39" s="300"/>
      <c r="Z39" s="300"/>
      <c r="AA39" s="301"/>
      <c r="AB39" s="317"/>
      <c r="AC39" s="318"/>
      <c r="AD39" s="318"/>
      <c r="AE39" s="318"/>
      <c r="AF39" s="318"/>
      <c r="AG39" s="319"/>
      <c r="AH39" s="308"/>
      <c r="AI39" s="309"/>
      <c r="AJ39" s="309"/>
      <c r="AK39" s="309"/>
      <c r="AL39" s="309"/>
      <c r="AM39" s="310"/>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337"/>
      <c r="C40" s="337"/>
      <c r="D40" s="338"/>
      <c r="E40" s="330"/>
      <c r="F40" s="331"/>
      <c r="G40" s="331"/>
      <c r="H40" s="331"/>
      <c r="I40" s="332"/>
      <c r="J40" s="290" t="str">
        <f>IF(AND('Mapa final'!$I$12="Muy Baja",'Mapa final'!$M$12="Leve"),CONCATENATE("R",'Mapa final'!$A$12),"")</f>
        <v/>
      </c>
      <c r="K40" s="291"/>
      <c r="L40" s="291" t="str">
        <f>IF(AND('Mapa final'!$I$13="Muy Baja",'Mapa final'!$M$13="Leve"),CONCATENATE("R",'Mapa final'!$A$13),"")</f>
        <v/>
      </c>
      <c r="M40" s="291"/>
      <c r="N40" s="291" t="str">
        <f>IF(AND('Mapa final'!$I$15="Muy Baja",'Mapa final'!$M$15="Leve"),CONCATENATE("R",'Mapa final'!$A$15),"")</f>
        <v/>
      </c>
      <c r="O40" s="292"/>
      <c r="P40" s="290" t="str">
        <f>IF(AND('Mapa final'!$I$12="Muy Baja",'Mapa final'!$M$12="Menor"),CONCATENATE("R",'Mapa final'!$A$12),"")</f>
        <v/>
      </c>
      <c r="Q40" s="291"/>
      <c r="R40" s="291" t="str">
        <f>IF(AND('Mapa final'!$I$13="Muy Baja",'Mapa final'!$M$13="Menor"),CONCATENATE("R",'Mapa final'!$A$13),"")</f>
        <v/>
      </c>
      <c r="S40" s="291"/>
      <c r="T40" s="291" t="str">
        <f>IF(AND('Mapa final'!$I$15="Muy Baja",'Mapa final'!$M$15="Menor"),CONCATENATE("R",'Mapa final'!$A$15),"")</f>
        <v>R6</v>
      </c>
      <c r="U40" s="292"/>
      <c r="V40" s="299" t="str">
        <f>IF(AND('Mapa final'!$I$12="Muy Baja",'Mapa final'!$M$12="Moderado"),CONCATENATE("R",'Mapa final'!$A$12),"")</f>
        <v/>
      </c>
      <c r="W40" s="300"/>
      <c r="X40" s="300" t="str">
        <f>IF(AND('Mapa final'!$I$13="Muy Baja",'Mapa final'!$M$13="Moderado"),CONCATENATE("R",'Mapa final'!$A$13),"")</f>
        <v/>
      </c>
      <c r="Y40" s="300"/>
      <c r="Z40" s="300" t="str">
        <f>IF(AND('Mapa final'!$I$15="Muy Baja",'Mapa final'!$M$15="Moderado"),CONCATENATE("R",'Mapa final'!$A$15),"")</f>
        <v/>
      </c>
      <c r="AA40" s="301"/>
      <c r="AB40" s="317" t="str">
        <f>IF(AND('Mapa final'!$I$12="Muy Baja",'Mapa final'!$M$12="Mayor"),CONCATENATE("R",'Mapa final'!$A$12),"")</f>
        <v/>
      </c>
      <c r="AC40" s="318"/>
      <c r="AD40" s="318" t="str">
        <f>IF(AND('Mapa final'!$I$13="Muy Baja",'Mapa final'!$M$13="Mayor"),CONCATENATE("R",'Mapa final'!$A$13),"")</f>
        <v/>
      </c>
      <c r="AE40" s="318"/>
      <c r="AF40" s="318" t="str">
        <f>IF(AND('Mapa final'!$I$15="Muy Baja",'Mapa final'!$M$15="Mayor"),CONCATENATE("R",'Mapa final'!$A$15),"")</f>
        <v/>
      </c>
      <c r="AG40" s="319"/>
      <c r="AH40" s="308" t="str">
        <f>IF(AND('Mapa final'!$I$12="Muy Baja",'Mapa final'!$M$12="Catastrófico"),CONCATENATE("R",'Mapa final'!$A$12),"")</f>
        <v/>
      </c>
      <c r="AI40" s="309"/>
      <c r="AJ40" s="309" t="str">
        <f>IF(AND('Mapa final'!$I$13="Muy Baja",'Mapa final'!$M$13="Catastrófico"),CONCATENATE("R",'Mapa final'!$A$13),"")</f>
        <v/>
      </c>
      <c r="AK40" s="309"/>
      <c r="AL40" s="309" t="str">
        <f>IF(AND('Mapa final'!$I$15="Muy Baja",'Mapa final'!$M$15="Catastrófico"),CONCATENATE("R",'Mapa final'!$A$15),"")</f>
        <v/>
      </c>
      <c r="AM40" s="310"/>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337"/>
      <c r="C41" s="337"/>
      <c r="D41" s="338"/>
      <c r="E41" s="330"/>
      <c r="F41" s="331"/>
      <c r="G41" s="331"/>
      <c r="H41" s="331"/>
      <c r="I41" s="332"/>
      <c r="J41" s="290"/>
      <c r="K41" s="291"/>
      <c r="L41" s="291"/>
      <c r="M41" s="291"/>
      <c r="N41" s="291"/>
      <c r="O41" s="292"/>
      <c r="P41" s="290"/>
      <c r="Q41" s="291"/>
      <c r="R41" s="291"/>
      <c r="S41" s="291"/>
      <c r="T41" s="291"/>
      <c r="U41" s="292"/>
      <c r="V41" s="299"/>
      <c r="W41" s="300"/>
      <c r="X41" s="300"/>
      <c r="Y41" s="300"/>
      <c r="Z41" s="300"/>
      <c r="AA41" s="301"/>
      <c r="AB41" s="317"/>
      <c r="AC41" s="318"/>
      <c r="AD41" s="318"/>
      <c r="AE41" s="318"/>
      <c r="AF41" s="318"/>
      <c r="AG41" s="319"/>
      <c r="AH41" s="308"/>
      <c r="AI41" s="309"/>
      <c r="AJ41" s="309"/>
      <c r="AK41" s="309"/>
      <c r="AL41" s="309"/>
      <c r="AM41" s="310"/>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337"/>
      <c r="C42" s="337"/>
      <c r="D42" s="338"/>
      <c r="E42" s="330"/>
      <c r="F42" s="331"/>
      <c r="G42" s="331"/>
      <c r="H42" s="331"/>
      <c r="I42" s="332"/>
      <c r="J42" s="290" t="str">
        <f>IF(AND('Mapa final'!$I$18="Muy Baja",'Mapa final'!$M$18="Leve"),CONCATENATE("R",'Mapa final'!$A$18),"")</f>
        <v/>
      </c>
      <c r="K42" s="291"/>
      <c r="L42" s="291" t="str">
        <f>IF(AND('Mapa final'!$I$20="Muy Baja",'Mapa final'!$M$20="Leve"),CONCATENATE("R",'Mapa final'!$A$20),"")</f>
        <v/>
      </c>
      <c r="M42" s="291"/>
      <c r="N42" s="291" t="str">
        <f>IF(AND('Mapa final'!$I$22="Muy Baja",'Mapa final'!$M$22="Leve"),CONCATENATE("R",'Mapa final'!$A$22),"")</f>
        <v/>
      </c>
      <c r="O42" s="292"/>
      <c r="P42" s="290" t="str">
        <f>IF(AND('Mapa final'!$I$18="Muy Baja",'Mapa final'!$M$18="Menor"),CONCATENATE("R",'Mapa final'!$A$18),"")</f>
        <v/>
      </c>
      <c r="Q42" s="291"/>
      <c r="R42" s="291" t="str">
        <f>IF(AND('Mapa final'!$I$20="Muy Baja",'Mapa final'!$M$20="Menor"),CONCATENATE("R",'Mapa final'!$A$20),"")</f>
        <v/>
      </c>
      <c r="S42" s="291"/>
      <c r="T42" s="291" t="str">
        <f>IF(AND('Mapa final'!$I$22="Muy Baja",'Mapa final'!$M$22="Menor"),CONCATENATE("R",'Mapa final'!$A$22),"")</f>
        <v/>
      </c>
      <c r="U42" s="292"/>
      <c r="V42" s="299" t="str">
        <f>IF(AND('Mapa final'!$I$18="Muy Baja",'Mapa final'!$M$18="Moderado"),CONCATENATE("R",'Mapa final'!$A$18),"")</f>
        <v/>
      </c>
      <c r="W42" s="300"/>
      <c r="X42" s="300" t="str">
        <f>IF(AND('Mapa final'!$I$20="Muy Baja",'Mapa final'!$M$20="Moderado"),CONCATENATE("R",'Mapa final'!$A$20),"")</f>
        <v/>
      </c>
      <c r="Y42" s="300"/>
      <c r="Z42" s="300" t="str">
        <f>IF(AND('Mapa final'!$I$22="Muy Baja",'Mapa final'!$M$22="Moderado"),CONCATENATE("R",'Mapa final'!$A$22),"")</f>
        <v/>
      </c>
      <c r="AA42" s="301"/>
      <c r="AB42" s="317" t="str">
        <f>IF(AND('Mapa final'!$I$18="Muy Baja",'Mapa final'!$M$18="Mayor"),CONCATENATE("R",'Mapa final'!$A$18),"")</f>
        <v/>
      </c>
      <c r="AC42" s="318"/>
      <c r="AD42" s="318" t="str">
        <f>IF(AND('Mapa final'!$I$20="Muy Baja",'Mapa final'!$M$20="Mayor"),CONCATENATE("R",'Mapa final'!$A$20),"")</f>
        <v/>
      </c>
      <c r="AE42" s="318"/>
      <c r="AF42" s="318" t="str">
        <f>IF(AND('Mapa final'!$I$22="Muy Baja",'Mapa final'!$M$22="Mayor"),CONCATENATE("R",'Mapa final'!$A$22),"")</f>
        <v/>
      </c>
      <c r="AG42" s="319"/>
      <c r="AH42" s="308" t="str">
        <f>IF(AND('Mapa final'!$I$18="Muy Baja",'Mapa final'!$M$18="Catastrófico"),CONCATENATE("R",'Mapa final'!$A$18),"")</f>
        <v/>
      </c>
      <c r="AI42" s="309"/>
      <c r="AJ42" s="309" t="str">
        <f>IF(AND('Mapa final'!$I$20="Muy Baja",'Mapa final'!$M$20="Catastrófico"),CONCATENATE("R",'Mapa final'!$A$20),"")</f>
        <v/>
      </c>
      <c r="AK42" s="309"/>
      <c r="AL42" s="309" t="str">
        <f>IF(AND('Mapa final'!$I$22="Muy Baja",'Mapa final'!$M$22="Catastrófico"),CONCATENATE("R",'Mapa final'!$A$22),"")</f>
        <v/>
      </c>
      <c r="AM42" s="310"/>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337"/>
      <c r="C43" s="337"/>
      <c r="D43" s="338"/>
      <c r="E43" s="330"/>
      <c r="F43" s="331"/>
      <c r="G43" s="331"/>
      <c r="H43" s="331"/>
      <c r="I43" s="332"/>
      <c r="J43" s="290"/>
      <c r="K43" s="291"/>
      <c r="L43" s="291"/>
      <c r="M43" s="291"/>
      <c r="N43" s="291"/>
      <c r="O43" s="292"/>
      <c r="P43" s="290"/>
      <c r="Q43" s="291"/>
      <c r="R43" s="291"/>
      <c r="S43" s="291"/>
      <c r="T43" s="291"/>
      <c r="U43" s="292"/>
      <c r="V43" s="299"/>
      <c r="W43" s="300"/>
      <c r="X43" s="300"/>
      <c r="Y43" s="300"/>
      <c r="Z43" s="300"/>
      <c r="AA43" s="301"/>
      <c r="AB43" s="317"/>
      <c r="AC43" s="318"/>
      <c r="AD43" s="318"/>
      <c r="AE43" s="318"/>
      <c r="AF43" s="318"/>
      <c r="AG43" s="319"/>
      <c r="AH43" s="308"/>
      <c r="AI43" s="309"/>
      <c r="AJ43" s="309"/>
      <c r="AK43" s="309"/>
      <c r="AL43" s="309"/>
      <c r="AM43" s="310"/>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337"/>
      <c r="C44" s="337"/>
      <c r="D44" s="338"/>
      <c r="E44" s="330"/>
      <c r="F44" s="331"/>
      <c r="G44" s="331"/>
      <c r="H44" s="331"/>
      <c r="I44" s="332"/>
      <c r="J44" s="290" t="str">
        <f>IF(AND('Mapa final'!$I$24="Muy Baja",'Mapa final'!$M$24="Leve"),CONCATENATE("R",'Mapa final'!$A$24),"")</f>
        <v/>
      </c>
      <c r="K44" s="291"/>
      <c r="L44" s="291" t="str">
        <f>IF(AND('Mapa final'!$I$43="Muy Baja",'Mapa final'!$M$43="Leve"),CONCATENATE("R",'Mapa final'!$A$43),"")</f>
        <v/>
      </c>
      <c r="M44" s="291"/>
      <c r="N44" s="291" t="str">
        <f>IF(AND('Mapa final'!$I$49="Muy Baja",'Mapa final'!$M$49="Leve"),CONCATENATE("R",'Mapa final'!$A$49),"")</f>
        <v/>
      </c>
      <c r="O44" s="292"/>
      <c r="P44" s="290" t="str">
        <f>IF(AND('Mapa final'!$I$24="Muy Baja",'Mapa final'!$M$24="Menor"),CONCATENATE("R",'Mapa final'!$A$24),"")</f>
        <v/>
      </c>
      <c r="Q44" s="291"/>
      <c r="R44" s="291" t="str">
        <f>IF(AND('Mapa final'!$I$43="Muy Baja",'Mapa final'!$M$43="Menor"),CONCATENATE("R",'Mapa final'!$A$43),"")</f>
        <v/>
      </c>
      <c r="S44" s="291"/>
      <c r="T44" s="291" t="str">
        <f>IF(AND('Mapa final'!$I$49="Muy Baja",'Mapa final'!$M$49="Menor"),CONCATENATE("R",'Mapa final'!$A$49),"")</f>
        <v/>
      </c>
      <c r="U44" s="292"/>
      <c r="V44" s="299" t="str">
        <f>IF(AND('Mapa final'!$I$24="Muy Baja",'Mapa final'!$M$24="Moderado"),CONCATENATE("R",'Mapa final'!$A$24),"")</f>
        <v/>
      </c>
      <c r="W44" s="300"/>
      <c r="X44" s="300" t="str">
        <f>IF(AND('Mapa final'!$I$43="Muy Baja",'Mapa final'!$M$43="Moderado"),CONCATENATE("R",'Mapa final'!$A$43),"")</f>
        <v/>
      </c>
      <c r="Y44" s="300"/>
      <c r="Z44" s="300" t="str">
        <f>IF(AND('Mapa final'!$I$49="Muy Baja",'Mapa final'!$M$49="Moderado"),CONCATENATE("R",'Mapa final'!$A$49),"")</f>
        <v/>
      </c>
      <c r="AA44" s="301"/>
      <c r="AB44" s="317" t="str">
        <f>IF(AND('Mapa final'!$I$24="Muy Baja",'Mapa final'!$M$24="Mayor"),CONCATENATE("R",'Mapa final'!$A$24),"")</f>
        <v/>
      </c>
      <c r="AC44" s="318"/>
      <c r="AD44" s="318" t="str">
        <f>IF(AND('Mapa final'!$I$43="Muy Baja",'Mapa final'!$M$43="Mayor"),CONCATENATE("R",'Mapa final'!$A$43),"")</f>
        <v/>
      </c>
      <c r="AE44" s="318"/>
      <c r="AF44" s="318" t="str">
        <f>IF(AND('Mapa final'!$I$49="Muy Baja",'Mapa final'!$M$49="Mayor"),CONCATENATE("R",'Mapa final'!$A$49),"")</f>
        <v/>
      </c>
      <c r="AG44" s="319"/>
      <c r="AH44" s="308" t="str">
        <f>IF(AND('Mapa final'!$I$24="Muy Baja",'Mapa final'!$M$24="Catastrófico"),CONCATENATE("R",'Mapa final'!$A$24),"")</f>
        <v/>
      </c>
      <c r="AI44" s="309"/>
      <c r="AJ44" s="309" t="str">
        <f>IF(AND('Mapa final'!$I$43="Muy Baja",'Mapa final'!$M$43="Catastrófico"),CONCATENATE("R",'Mapa final'!$A$43),"")</f>
        <v/>
      </c>
      <c r="AK44" s="309"/>
      <c r="AL44" s="309" t="str">
        <f>IF(AND('Mapa final'!$I$49="Muy Baja",'Mapa final'!$M$49="Catastrófico"),CONCATENATE("R",'Mapa final'!$A$49),"")</f>
        <v/>
      </c>
      <c r="AM44" s="310"/>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337"/>
      <c r="C45" s="337"/>
      <c r="D45" s="338"/>
      <c r="E45" s="333"/>
      <c r="F45" s="334"/>
      <c r="G45" s="334"/>
      <c r="H45" s="334"/>
      <c r="I45" s="335"/>
      <c r="J45" s="293"/>
      <c r="K45" s="294"/>
      <c r="L45" s="294"/>
      <c r="M45" s="294"/>
      <c r="N45" s="294"/>
      <c r="O45" s="295"/>
      <c r="P45" s="293"/>
      <c r="Q45" s="294"/>
      <c r="R45" s="294"/>
      <c r="S45" s="294"/>
      <c r="T45" s="294"/>
      <c r="U45" s="295"/>
      <c r="V45" s="302"/>
      <c r="W45" s="303"/>
      <c r="X45" s="303"/>
      <c r="Y45" s="303"/>
      <c r="Z45" s="303"/>
      <c r="AA45" s="304"/>
      <c r="AB45" s="320"/>
      <c r="AC45" s="321"/>
      <c r="AD45" s="321"/>
      <c r="AE45" s="321"/>
      <c r="AF45" s="321"/>
      <c r="AG45" s="322"/>
      <c r="AH45" s="311"/>
      <c r="AI45" s="312"/>
      <c r="AJ45" s="312"/>
      <c r="AK45" s="312"/>
      <c r="AL45" s="312"/>
      <c r="AM45" s="313"/>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327" t="s">
        <v>110</v>
      </c>
      <c r="K46" s="328"/>
      <c r="L46" s="328"/>
      <c r="M46" s="328"/>
      <c r="N46" s="328"/>
      <c r="O46" s="329"/>
      <c r="P46" s="327" t="s">
        <v>109</v>
      </c>
      <c r="Q46" s="328"/>
      <c r="R46" s="328"/>
      <c r="S46" s="328"/>
      <c r="T46" s="328"/>
      <c r="U46" s="329"/>
      <c r="V46" s="327" t="s">
        <v>108</v>
      </c>
      <c r="W46" s="328"/>
      <c r="X46" s="328"/>
      <c r="Y46" s="328"/>
      <c r="Z46" s="328"/>
      <c r="AA46" s="329"/>
      <c r="AB46" s="327" t="s">
        <v>107</v>
      </c>
      <c r="AC46" s="336"/>
      <c r="AD46" s="328"/>
      <c r="AE46" s="328"/>
      <c r="AF46" s="328"/>
      <c r="AG46" s="329"/>
      <c r="AH46" s="327" t="s">
        <v>106</v>
      </c>
      <c r="AI46" s="328"/>
      <c r="AJ46" s="328"/>
      <c r="AK46" s="328"/>
      <c r="AL46" s="328"/>
      <c r="AM46" s="329"/>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330"/>
      <c r="K47" s="331"/>
      <c r="L47" s="331"/>
      <c r="M47" s="331"/>
      <c r="N47" s="331"/>
      <c r="O47" s="332"/>
      <c r="P47" s="330"/>
      <c r="Q47" s="331"/>
      <c r="R47" s="331"/>
      <c r="S47" s="331"/>
      <c r="T47" s="331"/>
      <c r="U47" s="332"/>
      <c r="V47" s="330"/>
      <c r="W47" s="331"/>
      <c r="X47" s="331"/>
      <c r="Y47" s="331"/>
      <c r="Z47" s="331"/>
      <c r="AA47" s="332"/>
      <c r="AB47" s="330"/>
      <c r="AC47" s="331"/>
      <c r="AD47" s="331"/>
      <c r="AE47" s="331"/>
      <c r="AF47" s="331"/>
      <c r="AG47" s="332"/>
      <c r="AH47" s="330"/>
      <c r="AI47" s="331"/>
      <c r="AJ47" s="331"/>
      <c r="AK47" s="331"/>
      <c r="AL47" s="331"/>
      <c r="AM47" s="332"/>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330"/>
      <c r="K48" s="331"/>
      <c r="L48" s="331"/>
      <c r="M48" s="331"/>
      <c r="N48" s="331"/>
      <c r="O48" s="332"/>
      <c r="P48" s="330"/>
      <c r="Q48" s="331"/>
      <c r="R48" s="331"/>
      <c r="S48" s="331"/>
      <c r="T48" s="331"/>
      <c r="U48" s="332"/>
      <c r="V48" s="330"/>
      <c r="W48" s="331"/>
      <c r="X48" s="331"/>
      <c r="Y48" s="331"/>
      <c r="Z48" s="331"/>
      <c r="AA48" s="332"/>
      <c r="AB48" s="330"/>
      <c r="AC48" s="331"/>
      <c r="AD48" s="331"/>
      <c r="AE48" s="331"/>
      <c r="AF48" s="331"/>
      <c r="AG48" s="332"/>
      <c r="AH48" s="330"/>
      <c r="AI48" s="331"/>
      <c r="AJ48" s="331"/>
      <c r="AK48" s="331"/>
      <c r="AL48" s="331"/>
      <c r="AM48" s="332"/>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330"/>
      <c r="K49" s="331"/>
      <c r="L49" s="331"/>
      <c r="M49" s="331"/>
      <c r="N49" s="331"/>
      <c r="O49" s="332"/>
      <c r="P49" s="330"/>
      <c r="Q49" s="331"/>
      <c r="R49" s="331"/>
      <c r="S49" s="331"/>
      <c r="T49" s="331"/>
      <c r="U49" s="332"/>
      <c r="V49" s="330"/>
      <c r="W49" s="331"/>
      <c r="X49" s="331"/>
      <c r="Y49" s="331"/>
      <c r="Z49" s="331"/>
      <c r="AA49" s="332"/>
      <c r="AB49" s="330"/>
      <c r="AC49" s="331"/>
      <c r="AD49" s="331"/>
      <c r="AE49" s="331"/>
      <c r="AF49" s="331"/>
      <c r="AG49" s="332"/>
      <c r="AH49" s="330"/>
      <c r="AI49" s="331"/>
      <c r="AJ49" s="331"/>
      <c r="AK49" s="331"/>
      <c r="AL49" s="331"/>
      <c r="AM49" s="332"/>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330"/>
      <c r="K50" s="331"/>
      <c r="L50" s="331"/>
      <c r="M50" s="331"/>
      <c r="N50" s="331"/>
      <c r="O50" s="332"/>
      <c r="P50" s="330"/>
      <c r="Q50" s="331"/>
      <c r="R50" s="331"/>
      <c r="S50" s="331"/>
      <c r="T50" s="331"/>
      <c r="U50" s="332"/>
      <c r="V50" s="330"/>
      <c r="W50" s="331"/>
      <c r="X50" s="331"/>
      <c r="Y50" s="331"/>
      <c r="Z50" s="331"/>
      <c r="AA50" s="332"/>
      <c r="AB50" s="330"/>
      <c r="AC50" s="331"/>
      <c r="AD50" s="331"/>
      <c r="AE50" s="331"/>
      <c r="AF50" s="331"/>
      <c r="AG50" s="332"/>
      <c r="AH50" s="330"/>
      <c r="AI50" s="331"/>
      <c r="AJ50" s="331"/>
      <c r="AK50" s="331"/>
      <c r="AL50" s="331"/>
      <c r="AM50" s="332"/>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333"/>
      <c r="K51" s="334"/>
      <c r="L51" s="334"/>
      <c r="M51" s="334"/>
      <c r="N51" s="334"/>
      <c r="O51" s="335"/>
      <c r="P51" s="333"/>
      <c r="Q51" s="334"/>
      <c r="R51" s="334"/>
      <c r="S51" s="334"/>
      <c r="T51" s="334"/>
      <c r="U51" s="335"/>
      <c r="V51" s="333"/>
      <c r="W51" s="334"/>
      <c r="X51" s="334"/>
      <c r="Y51" s="334"/>
      <c r="Z51" s="334"/>
      <c r="AA51" s="335"/>
      <c r="AB51" s="333"/>
      <c r="AC51" s="334"/>
      <c r="AD51" s="334"/>
      <c r="AE51" s="334"/>
      <c r="AF51" s="334"/>
      <c r="AG51" s="335"/>
      <c r="AH51" s="333"/>
      <c r="AI51" s="334"/>
      <c r="AJ51" s="334"/>
      <c r="AK51" s="334"/>
      <c r="AL51" s="334"/>
      <c r="AM51" s="335"/>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5" zoomScale="50" zoomScaleNormal="50" workbookViewId="0">
      <selection activeCell="AC46" sqref="AC4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404" t="s">
        <v>156</v>
      </c>
      <c r="C2" s="405"/>
      <c r="D2" s="405"/>
      <c r="E2" s="405"/>
      <c r="F2" s="405"/>
      <c r="G2" s="405"/>
      <c r="H2" s="405"/>
      <c r="I2" s="405"/>
      <c r="J2" s="326" t="s">
        <v>2</v>
      </c>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405"/>
      <c r="C3" s="405"/>
      <c r="D3" s="405"/>
      <c r="E3" s="405"/>
      <c r="F3" s="405"/>
      <c r="G3" s="405"/>
      <c r="H3" s="405"/>
      <c r="I3" s="405"/>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6"/>
      <c r="AJ3" s="326"/>
      <c r="AK3" s="326"/>
      <c r="AL3" s="326"/>
      <c r="AM3" s="326"/>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405"/>
      <c r="C4" s="405"/>
      <c r="D4" s="405"/>
      <c r="E4" s="405"/>
      <c r="F4" s="405"/>
      <c r="G4" s="405"/>
      <c r="H4" s="405"/>
      <c r="I4" s="405"/>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337" t="s">
        <v>4</v>
      </c>
      <c r="C6" s="337"/>
      <c r="D6" s="338"/>
      <c r="E6" s="375" t="s">
        <v>114</v>
      </c>
      <c r="F6" s="376"/>
      <c r="G6" s="376"/>
      <c r="H6" s="376"/>
      <c r="I6" s="377"/>
      <c r="J6" s="44" t="str">
        <f>IF(AND('Mapa final'!$Z$7="Muy Alta",'Mapa final'!$AB$7="Leve"),CONCATENATE("R1C",'Mapa final'!$P$7),"")</f>
        <v/>
      </c>
      <c r="K6" s="45" t="str">
        <f>IF(AND('Mapa final'!$Z$8="Muy Alta",'Mapa final'!$AB$8="Leve"),CONCATENATE("R1C",'Mapa final'!$P$8),"")</f>
        <v/>
      </c>
      <c r="L6" s="45" t="e">
        <f>IF(AND('Mapa final'!#REF!="Muy Alta",'Mapa final'!#REF!="Leve"),CONCATENATE("R1C",'Mapa final'!#REF!),"")</f>
        <v>#REF!</v>
      </c>
      <c r="M6" s="45" t="e">
        <f>IF(AND('Mapa final'!#REF!="Muy Alta",'Mapa final'!#REF!="Leve"),CONCATENATE("R1C",'Mapa final'!#REF!),"")</f>
        <v>#REF!</v>
      </c>
      <c r="N6" s="45" t="e">
        <f>IF(AND('Mapa final'!#REF!="Muy Alta",'Mapa final'!#REF!="Leve"),CONCATENATE("R1C",'Mapa final'!#REF!),"")</f>
        <v>#REF!</v>
      </c>
      <c r="O6" s="46" t="e">
        <f>IF(AND('Mapa final'!#REF!="Muy Alta",'Mapa final'!#REF!="Leve"),CONCATENATE("R1C",'Mapa final'!#REF!),"")</f>
        <v>#REF!</v>
      </c>
      <c r="P6" s="44" t="str">
        <f>IF(AND('Mapa final'!$Z$7="Muy Alta",'Mapa final'!$AB$7="Menor"),CONCATENATE("R1C",'Mapa final'!$P$7),"")</f>
        <v/>
      </c>
      <c r="Q6" s="45" t="str">
        <f>IF(AND('Mapa final'!$Z$8="Muy Alta",'Mapa final'!$AB$8="Menor"),CONCATENATE("R1C",'Mapa final'!$P$8),"")</f>
        <v/>
      </c>
      <c r="R6" s="45" t="e">
        <f>IF(AND('Mapa final'!#REF!="Muy Alta",'Mapa final'!#REF!="Menor"),CONCATENATE("R1C",'Mapa final'!#REF!),"")</f>
        <v>#REF!</v>
      </c>
      <c r="S6" s="45" t="e">
        <f>IF(AND('Mapa final'!#REF!="Muy Alta",'Mapa final'!#REF!="Menor"),CONCATENATE("R1C",'Mapa final'!#REF!),"")</f>
        <v>#REF!</v>
      </c>
      <c r="T6" s="45" t="e">
        <f>IF(AND('Mapa final'!#REF!="Muy Alta",'Mapa final'!#REF!="Menor"),CONCATENATE("R1C",'Mapa final'!#REF!),"")</f>
        <v>#REF!</v>
      </c>
      <c r="U6" s="46" t="e">
        <f>IF(AND('Mapa final'!#REF!="Muy Alta",'Mapa final'!#REF!="Menor"),CONCATENATE("R1C",'Mapa final'!#REF!),"")</f>
        <v>#REF!</v>
      </c>
      <c r="V6" s="44" t="str">
        <f>IF(AND('Mapa final'!$Z$7="Muy Alta",'Mapa final'!$AB$7="Moderado"),CONCATENATE("R1C",'Mapa final'!$P$7),"")</f>
        <v/>
      </c>
      <c r="W6" s="45" t="str">
        <f>IF(AND('Mapa final'!$Z$8="Muy Alta",'Mapa final'!$AB$8="Moderado"),CONCATENATE("R1C",'Mapa final'!$P$8),"")</f>
        <v/>
      </c>
      <c r="X6" s="45" t="e">
        <f>IF(AND('Mapa final'!#REF!="Muy Alta",'Mapa final'!#REF!="Moderado"),CONCATENATE("R1C",'Mapa final'!#REF!),"")</f>
        <v>#REF!</v>
      </c>
      <c r="Y6" s="45" t="e">
        <f>IF(AND('Mapa final'!#REF!="Muy Alta",'Mapa final'!#REF!="Moderado"),CONCATENATE("R1C",'Mapa final'!#REF!),"")</f>
        <v>#REF!</v>
      </c>
      <c r="Z6" s="45" t="e">
        <f>IF(AND('Mapa final'!#REF!="Muy Alta",'Mapa final'!#REF!="Moderado"),CONCATENATE("R1C",'Mapa final'!#REF!),"")</f>
        <v>#REF!</v>
      </c>
      <c r="AA6" s="46" t="e">
        <f>IF(AND('Mapa final'!#REF!="Muy Alta",'Mapa final'!#REF!="Moderado"),CONCATENATE("R1C",'Mapa final'!#REF!),"")</f>
        <v>#REF!</v>
      </c>
      <c r="AB6" s="44" t="str">
        <f>IF(AND('Mapa final'!$Z$7="Muy Alta",'Mapa final'!$AB$7="Mayor"),CONCATENATE("R1C",'Mapa final'!$P$7),"")</f>
        <v/>
      </c>
      <c r="AC6" s="45" t="str">
        <f>IF(AND('Mapa final'!$Z$8="Muy Alta",'Mapa final'!$AB$8="Mayor"),CONCATENATE("R1C",'Mapa final'!$P$8),"")</f>
        <v/>
      </c>
      <c r="AD6" s="45" t="e">
        <f>IF(AND('Mapa final'!#REF!="Muy Alta",'Mapa final'!#REF!="Mayor"),CONCATENATE("R1C",'Mapa final'!#REF!),"")</f>
        <v>#REF!</v>
      </c>
      <c r="AE6" s="45" t="e">
        <f>IF(AND('Mapa final'!#REF!="Muy Alta",'Mapa final'!#REF!="Mayor"),CONCATENATE("R1C",'Mapa final'!#REF!),"")</f>
        <v>#REF!</v>
      </c>
      <c r="AF6" s="45" t="e">
        <f>IF(AND('Mapa final'!#REF!="Muy Alta",'Mapa final'!#REF!="Mayor"),CONCATENATE("R1C",'Mapa final'!#REF!),"")</f>
        <v>#REF!</v>
      </c>
      <c r="AG6" s="46" t="e">
        <f>IF(AND('Mapa final'!#REF!="Muy Alta",'Mapa final'!#REF!="Mayor"),CONCATENATE("R1C",'Mapa final'!#REF!),"")</f>
        <v>#REF!</v>
      </c>
      <c r="AH6" s="47" t="str">
        <f>IF(AND('Mapa final'!$Z$7="Muy Alta",'Mapa final'!$AB$7="Catastrófico"),CONCATENATE("R1C",'Mapa final'!$P$7),"")</f>
        <v/>
      </c>
      <c r="AI6" s="48" t="str">
        <f>IF(AND('Mapa final'!$Z$8="Muy Alta",'Mapa final'!$AB$8="Catastrófico"),CONCATENATE("R1C",'Mapa final'!$P$8),"")</f>
        <v/>
      </c>
      <c r="AJ6" s="48" t="e">
        <f>IF(AND('Mapa final'!#REF!="Muy Alta",'Mapa final'!#REF!="Catastrófico"),CONCATENATE("R1C",'Mapa final'!#REF!),"")</f>
        <v>#REF!</v>
      </c>
      <c r="AK6" s="48" t="e">
        <f>IF(AND('Mapa final'!#REF!="Muy Alta",'Mapa final'!#REF!="Catastrófico"),CONCATENATE("R1C",'Mapa final'!#REF!),"")</f>
        <v>#REF!</v>
      </c>
      <c r="AL6" s="48" t="e">
        <f>IF(AND('Mapa final'!#REF!="Muy Alta",'Mapa final'!#REF!="Catastrófico"),CONCATENATE("R1C",'Mapa final'!#REF!),"")</f>
        <v>#REF!</v>
      </c>
      <c r="AM6" s="49" t="e">
        <f>IF(AND('Mapa final'!#REF!="Muy Alta",'Mapa final'!#REF!="Catastrófico"),CONCATENATE("R1C",'Mapa final'!#REF!),"")</f>
        <v>#REF!</v>
      </c>
      <c r="AN6" s="81"/>
      <c r="AO6" s="395" t="s">
        <v>77</v>
      </c>
      <c r="AP6" s="396"/>
      <c r="AQ6" s="396"/>
      <c r="AR6" s="396"/>
      <c r="AS6" s="396"/>
      <c r="AT6" s="397"/>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337"/>
      <c r="C7" s="337"/>
      <c r="D7" s="338"/>
      <c r="E7" s="378"/>
      <c r="F7" s="379"/>
      <c r="G7" s="379"/>
      <c r="H7" s="379"/>
      <c r="I7" s="380"/>
      <c r="J7" s="50" t="str">
        <f>IF(AND('Mapa final'!$Z$9="Muy Alta",'Mapa final'!$AB$9="Leve"),CONCATENATE("R2C",'Mapa final'!$P$9),"")</f>
        <v/>
      </c>
      <c r="K7" s="51" t="str">
        <f>IF(AND('Mapa final'!$Z$10="Muy Alta",'Mapa final'!$AB$10="Leve"),CONCATENATE("R2C",'Mapa final'!$P$10),"")</f>
        <v/>
      </c>
      <c r="L7" s="51" t="e">
        <f>IF(AND('Mapa final'!#REF!="Muy Alta",'Mapa final'!#REF!="Leve"),CONCATENATE("R2C",'Mapa final'!#REF!),"")</f>
        <v>#REF!</v>
      </c>
      <c r="M7" s="51" t="e">
        <f>IF(AND('Mapa final'!#REF!="Muy Alta",'Mapa final'!#REF!="Leve"),CONCATENATE("R2C",'Mapa final'!#REF!),"")</f>
        <v>#REF!</v>
      </c>
      <c r="N7" s="51" t="e">
        <f>IF(AND('Mapa final'!#REF!="Muy Alta",'Mapa final'!#REF!="Leve"),CONCATENATE("R2C",'Mapa final'!#REF!),"")</f>
        <v>#REF!</v>
      </c>
      <c r="O7" s="52" t="e">
        <f>IF(AND('Mapa final'!#REF!="Muy Alta",'Mapa final'!#REF!="Leve"),CONCATENATE("R2C",'Mapa final'!#REF!),"")</f>
        <v>#REF!</v>
      </c>
      <c r="P7" s="50" t="str">
        <f>IF(AND('Mapa final'!$Z$9="Muy Alta",'Mapa final'!$AB$9="Menor"),CONCATENATE("R2C",'Mapa final'!$P$9),"")</f>
        <v/>
      </c>
      <c r="Q7" s="51" t="str">
        <f>IF(AND('Mapa final'!$Z$10="Muy Alta",'Mapa final'!$AB$10="Menor"),CONCATENATE("R2C",'Mapa final'!$P$10),"")</f>
        <v/>
      </c>
      <c r="R7" s="51" t="e">
        <f>IF(AND('Mapa final'!#REF!="Muy Alta",'Mapa final'!#REF!="Menor"),CONCATENATE("R2C",'Mapa final'!#REF!),"")</f>
        <v>#REF!</v>
      </c>
      <c r="S7" s="51" t="e">
        <f>IF(AND('Mapa final'!#REF!="Muy Alta",'Mapa final'!#REF!="Menor"),CONCATENATE("R2C",'Mapa final'!#REF!),"")</f>
        <v>#REF!</v>
      </c>
      <c r="T7" s="51" t="e">
        <f>IF(AND('Mapa final'!#REF!="Muy Alta",'Mapa final'!#REF!="Menor"),CONCATENATE("R2C",'Mapa final'!#REF!),"")</f>
        <v>#REF!</v>
      </c>
      <c r="U7" s="52" t="e">
        <f>IF(AND('Mapa final'!#REF!="Muy Alta",'Mapa final'!#REF!="Menor"),CONCATENATE("R2C",'Mapa final'!#REF!),"")</f>
        <v>#REF!</v>
      </c>
      <c r="V7" s="50" t="str">
        <f>IF(AND('Mapa final'!$Z$9="Muy Alta",'Mapa final'!$AB$9="Moderado"),CONCATENATE("R2C",'Mapa final'!$P$9),"")</f>
        <v/>
      </c>
      <c r="W7" s="51" t="str">
        <f>IF(AND('Mapa final'!$Z$10="Muy Alta",'Mapa final'!$AB$10="Moderado"),CONCATENATE("R2C",'Mapa final'!$P$10),"")</f>
        <v/>
      </c>
      <c r="X7" s="51" t="e">
        <f>IF(AND('Mapa final'!#REF!="Muy Alta",'Mapa final'!#REF!="Moderado"),CONCATENATE("R2C",'Mapa final'!#REF!),"")</f>
        <v>#REF!</v>
      </c>
      <c r="Y7" s="51" t="e">
        <f>IF(AND('Mapa final'!#REF!="Muy Alta",'Mapa final'!#REF!="Moderado"),CONCATENATE("R2C",'Mapa final'!#REF!),"")</f>
        <v>#REF!</v>
      </c>
      <c r="Z7" s="51" t="e">
        <f>IF(AND('Mapa final'!#REF!="Muy Alta",'Mapa final'!#REF!="Moderado"),CONCATENATE("R2C",'Mapa final'!#REF!),"")</f>
        <v>#REF!</v>
      </c>
      <c r="AA7" s="52" t="e">
        <f>IF(AND('Mapa final'!#REF!="Muy Alta",'Mapa final'!#REF!="Moderado"),CONCATENATE("R2C",'Mapa final'!#REF!),"")</f>
        <v>#REF!</v>
      </c>
      <c r="AB7" s="50" t="str">
        <f>IF(AND('Mapa final'!$Z$9="Muy Alta",'Mapa final'!$AB$9="Mayor"),CONCATENATE("R2C",'Mapa final'!$P$9),"")</f>
        <v/>
      </c>
      <c r="AC7" s="51" t="str">
        <f>IF(AND('Mapa final'!$Z$10="Muy Alta",'Mapa final'!$AB$10="Mayor"),CONCATENATE("R2C",'Mapa final'!$P$10),"")</f>
        <v/>
      </c>
      <c r="AD7" s="51" t="e">
        <f>IF(AND('Mapa final'!#REF!="Muy Alta",'Mapa final'!#REF!="Mayor"),CONCATENATE("R2C",'Mapa final'!#REF!),"")</f>
        <v>#REF!</v>
      </c>
      <c r="AE7" s="51" t="e">
        <f>IF(AND('Mapa final'!#REF!="Muy Alta",'Mapa final'!#REF!="Mayor"),CONCATENATE("R2C",'Mapa final'!#REF!),"")</f>
        <v>#REF!</v>
      </c>
      <c r="AF7" s="51" t="e">
        <f>IF(AND('Mapa final'!#REF!="Muy Alta",'Mapa final'!#REF!="Mayor"),CONCATENATE("R2C",'Mapa final'!#REF!),"")</f>
        <v>#REF!</v>
      </c>
      <c r="AG7" s="52" t="e">
        <f>IF(AND('Mapa final'!#REF!="Muy Alta",'Mapa final'!#REF!="Mayor"),CONCATENATE("R2C",'Mapa final'!#REF!),"")</f>
        <v>#REF!</v>
      </c>
      <c r="AH7" s="53" t="str">
        <f>IF(AND('Mapa final'!$Z$9="Muy Alta",'Mapa final'!$AB$9="Catastrófico"),CONCATENATE("R2C",'Mapa final'!$P$9),"")</f>
        <v/>
      </c>
      <c r="AI7" s="54" t="str">
        <f>IF(AND('Mapa final'!$Z$10="Muy Alta",'Mapa final'!$AB$10="Catastrófico"),CONCATENATE("R2C",'Mapa final'!$P$10),"")</f>
        <v/>
      </c>
      <c r="AJ7" s="54" t="e">
        <f>IF(AND('Mapa final'!#REF!="Muy Alta",'Mapa final'!#REF!="Catastrófico"),CONCATENATE("R2C",'Mapa final'!#REF!),"")</f>
        <v>#REF!</v>
      </c>
      <c r="AK7" s="54" t="e">
        <f>IF(AND('Mapa final'!#REF!="Muy Alta",'Mapa final'!#REF!="Catastrófico"),CONCATENATE("R2C",'Mapa final'!#REF!),"")</f>
        <v>#REF!</v>
      </c>
      <c r="AL7" s="54" t="e">
        <f>IF(AND('Mapa final'!#REF!="Muy Alta",'Mapa final'!#REF!="Catastrófico"),CONCATENATE("R2C",'Mapa final'!#REF!),"")</f>
        <v>#REF!</v>
      </c>
      <c r="AM7" s="55" t="e">
        <f>IF(AND('Mapa final'!#REF!="Muy Alta",'Mapa final'!#REF!="Catastrófico"),CONCATENATE("R2C",'Mapa final'!#REF!),"")</f>
        <v>#REF!</v>
      </c>
      <c r="AN7" s="81"/>
      <c r="AO7" s="398"/>
      <c r="AP7" s="399"/>
      <c r="AQ7" s="399"/>
      <c r="AR7" s="399"/>
      <c r="AS7" s="399"/>
      <c r="AT7" s="400"/>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337"/>
      <c r="C8" s="337"/>
      <c r="D8" s="338"/>
      <c r="E8" s="378"/>
      <c r="F8" s="379"/>
      <c r="G8" s="379"/>
      <c r="H8" s="379"/>
      <c r="I8" s="380"/>
      <c r="J8" s="50" t="str">
        <f>IF(AND('Mapa final'!$Z$11="Muy Alta",'Mapa final'!$AB$11="Leve"),CONCATENATE("R3C",'Mapa final'!$P$11),"")</f>
        <v/>
      </c>
      <c r="K8" s="51" t="e">
        <f>IF(AND('Mapa final'!#REF!="Muy Alta",'Mapa final'!#REF!="Leve"),CONCATENATE("R3C",'Mapa final'!#REF!),"")</f>
        <v>#REF!</v>
      </c>
      <c r="L8" s="51" t="e">
        <f>IF(AND('Mapa final'!#REF!="Muy Alta",'Mapa final'!#REF!="Leve"),CONCATENATE("R3C",'Mapa final'!#REF!),"")</f>
        <v>#REF!</v>
      </c>
      <c r="M8" s="51" t="e">
        <f>IF(AND('Mapa final'!#REF!="Muy Alta",'Mapa final'!#REF!="Leve"),CONCATENATE("R3C",'Mapa final'!#REF!),"")</f>
        <v>#REF!</v>
      </c>
      <c r="N8" s="51" t="e">
        <f>IF(AND('Mapa final'!#REF!="Muy Alta",'Mapa final'!#REF!="Leve"),CONCATENATE("R3C",'Mapa final'!#REF!),"")</f>
        <v>#REF!</v>
      </c>
      <c r="O8" s="52" t="e">
        <f>IF(AND('Mapa final'!#REF!="Muy Alta",'Mapa final'!#REF!="Leve"),CONCATENATE("R3C",'Mapa final'!#REF!),"")</f>
        <v>#REF!</v>
      </c>
      <c r="P8" s="50" t="str">
        <f>IF(AND('Mapa final'!$Z$11="Muy Alta",'Mapa final'!$AB$11="Menor"),CONCATENATE("R3C",'Mapa final'!$P$11),"")</f>
        <v/>
      </c>
      <c r="Q8" s="51" t="e">
        <f>IF(AND('Mapa final'!#REF!="Muy Alta",'Mapa final'!#REF!="Menor"),CONCATENATE("R3C",'Mapa final'!#REF!),"")</f>
        <v>#REF!</v>
      </c>
      <c r="R8" s="51" t="e">
        <f>IF(AND('Mapa final'!#REF!="Muy Alta",'Mapa final'!#REF!="Menor"),CONCATENATE("R3C",'Mapa final'!#REF!),"")</f>
        <v>#REF!</v>
      </c>
      <c r="S8" s="51" t="e">
        <f>IF(AND('Mapa final'!#REF!="Muy Alta",'Mapa final'!#REF!="Menor"),CONCATENATE("R3C",'Mapa final'!#REF!),"")</f>
        <v>#REF!</v>
      </c>
      <c r="T8" s="51" t="e">
        <f>IF(AND('Mapa final'!#REF!="Muy Alta",'Mapa final'!#REF!="Menor"),CONCATENATE("R3C",'Mapa final'!#REF!),"")</f>
        <v>#REF!</v>
      </c>
      <c r="U8" s="52" t="e">
        <f>IF(AND('Mapa final'!#REF!="Muy Alta",'Mapa final'!#REF!="Menor"),CONCATENATE("R3C",'Mapa final'!#REF!),"")</f>
        <v>#REF!</v>
      </c>
      <c r="V8" s="50" t="str">
        <f>IF(AND('Mapa final'!$Z$11="Muy Alta",'Mapa final'!$AB$11="Moderado"),CONCATENATE("R3C",'Mapa final'!$P$11),"")</f>
        <v/>
      </c>
      <c r="W8" s="51" t="e">
        <f>IF(AND('Mapa final'!#REF!="Muy Alta",'Mapa final'!#REF!="Moderado"),CONCATENATE("R3C",'Mapa final'!#REF!),"")</f>
        <v>#REF!</v>
      </c>
      <c r="X8" s="51" t="e">
        <f>IF(AND('Mapa final'!#REF!="Muy Alta",'Mapa final'!#REF!="Moderado"),CONCATENATE("R3C",'Mapa final'!#REF!),"")</f>
        <v>#REF!</v>
      </c>
      <c r="Y8" s="51" t="e">
        <f>IF(AND('Mapa final'!#REF!="Muy Alta",'Mapa final'!#REF!="Moderado"),CONCATENATE("R3C",'Mapa final'!#REF!),"")</f>
        <v>#REF!</v>
      </c>
      <c r="Z8" s="51" t="e">
        <f>IF(AND('Mapa final'!#REF!="Muy Alta",'Mapa final'!#REF!="Moderado"),CONCATENATE("R3C",'Mapa final'!#REF!),"")</f>
        <v>#REF!</v>
      </c>
      <c r="AA8" s="52" t="e">
        <f>IF(AND('Mapa final'!#REF!="Muy Alta",'Mapa final'!#REF!="Moderado"),CONCATENATE("R3C",'Mapa final'!#REF!),"")</f>
        <v>#REF!</v>
      </c>
      <c r="AB8" s="50" t="str">
        <f>IF(AND('Mapa final'!$Z$11="Muy Alta",'Mapa final'!$AB$11="Mayor"),CONCATENATE("R3C",'Mapa final'!$P$11),"")</f>
        <v/>
      </c>
      <c r="AC8" s="51" t="e">
        <f>IF(AND('Mapa final'!#REF!="Muy Alta",'Mapa final'!#REF!="Mayor"),CONCATENATE("R3C",'Mapa final'!#REF!),"")</f>
        <v>#REF!</v>
      </c>
      <c r="AD8" s="51" t="e">
        <f>IF(AND('Mapa final'!#REF!="Muy Alta",'Mapa final'!#REF!="Mayor"),CONCATENATE("R3C",'Mapa final'!#REF!),"")</f>
        <v>#REF!</v>
      </c>
      <c r="AE8" s="51" t="e">
        <f>IF(AND('Mapa final'!#REF!="Muy Alta",'Mapa final'!#REF!="Mayor"),CONCATENATE("R3C",'Mapa final'!#REF!),"")</f>
        <v>#REF!</v>
      </c>
      <c r="AF8" s="51" t="e">
        <f>IF(AND('Mapa final'!#REF!="Muy Alta",'Mapa final'!#REF!="Mayor"),CONCATENATE("R3C",'Mapa final'!#REF!),"")</f>
        <v>#REF!</v>
      </c>
      <c r="AG8" s="52" t="e">
        <f>IF(AND('Mapa final'!#REF!="Muy Alta",'Mapa final'!#REF!="Mayor"),CONCATENATE("R3C",'Mapa final'!#REF!),"")</f>
        <v>#REF!</v>
      </c>
      <c r="AH8" s="53" t="str">
        <f>IF(AND('Mapa final'!$Z$11="Muy Alta",'Mapa final'!$AB$11="Catastrófico"),CONCATENATE("R3C",'Mapa final'!$P$11),"")</f>
        <v/>
      </c>
      <c r="AI8" s="54" t="e">
        <f>IF(AND('Mapa final'!#REF!="Muy Alta",'Mapa final'!#REF!="Catastrófico"),CONCATENATE("R3C",'Mapa final'!#REF!),"")</f>
        <v>#REF!</v>
      </c>
      <c r="AJ8" s="54" t="e">
        <f>IF(AND('Mapa final'!#REF!="Muy Alta",'Mapa final'!#REF!="Catastrófico"),CONCATENATE("R3C",'Mapa final'!#REF!),"")</f>
        <v>#REF!</v>
      </c>
      <c r="AK8" s="54" t="e">
        <f>IF(AND('Mapa final'!#REF!="Muy Alta",'Mapa final'!#REF!="Catastrófico"),CONCATENATE("R3C",'Mapa final'!#REF!),"")</f>
        <v>#REF!</v>
      </c>
      <c r="AL8" s="54" t="e">
        <f>IF(AND('Mapa final'!#REF!="Muy Alta",'Mapa final'!#REF!="Catastrófico"),CONCATENATE("R3C",'Mapa final'!#REF!),"")</f>
        <v>#REF!</v>
      </c>
      <c r="AM8" s="55" t="e">
        <f>IF(AND('Mapa final'!#REF!="Muy Alta",'Mapa final'!#REF!="Catastrófico"),CONCATENATE("R3C",'Mapa final'!#REF!),"")</f>
        <v>#REF!</v>
      </c>
      <c r="AN8" s="81"/>
      <c r="AO8" s="398"/>
      <c r="AP8" s="399"/>
      <c r="AQ8" s="399"/>
      <c r="AR8" s="399"/>
      <c r="AS8" s="399"/>
      <c r="AT8" s="400"/>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337"/>
      <c r="C9" s="337"/>
      <c r="D9" s="338"/>
      <c r="E9" s="378"/>
      <c r="F9" s="379"/>
      <c r="G9" s="379"/>
      <c r="H9" s="379"/>
      <c r="I9" s="380"/>
      <c r="J9" s="50" t="str">
        <f>IF(AND('Mapa final'!$Z$12="Muy Alta",'Mapa final'!$AB$12="Leve"),CONCATENATE("R4C",'Mapa final'!$P$12),"")</f>
        <v/>
      </c>
      <c r="K9" s="51" t="e">
        <f>IF(AND('Mapa final'!#REF!="Muy Alta",'Mapa final'!#REF!="Leve"),CONCATENATE("R4C",'Mapa final'!#REF!),"")</f>
        <v>#REF!</v>
      </c>
      <c r="L9" s="51" t="e">
        <f>IF(AND('Mapa final'!#REF!="Muy Alta",'Mapa final'!#REF!="Leve"),CONCATENATE("R4C",'Mapa final'!#REF!),"")</f>
        <v>#REF!</v>
      </c>
      <c r="M9" s="51" t="e">
        <f>IF(AND('Mapa final'!#REF!="Muy Alta",'Mapa final'!#REF!="Leve"),CONCATENATE("R4C",'Mapa final'!#REF!),"")</f>
        <v>#REF!</v>
      </c>
      <c r="N9" s="51" t="e">
        <f>IF(AND('Mapa final'!#REF!="Muy Alta",'Mapa final'!#REF!="Leve"),CONCATENATE("R4C",'Mapa final'!#REF!),"")</f>
        <v>#REF!</v>
      </c>
      <c r="O9" s="52" t="e">
        <f>IF(AND('Mapa final'!#REF!="Muy Alta",'Mapa final'!#REF!="Leve"),CONCATENATE("R4C",'Mapa final'!#REF!),"")</f>
        <v>#REF!</v>
      </c>
      <c r="P9" s="50" t="str">
        <f>IF(AND('Mapa final'!$Z$12="Muy Alta",'Mapa final'!$AB$12="Menor"),CONCATENATE("R4C",'Mapa final'!$P$12),"")</f>
        <v/>
      </c>
      <c r="Q9" s="51" t="e">
        <f>IF(AND('Mapa final'!#REF!="Muy Alta",'Mapa final'!#REF!="Menor"),CONCATENATE("R4C",'Mapa final'!#REF!),"")</f>
        <v>#REF!</v>
      </c>
      <c r="R9" s="51" t="e">
        <f>IF(AND('Mapa final'!#REF!="Muy Alta",'Mapa final'!#REF!="Menor"),CONCATENATE("R4C",'Mapa final'!#REF!),"")</f>
        <v>#REF!</v>
      </c>
      <c r="S9" s="51" t="e">
        <f>IF(AND('Mapa final'!#REF!="Muy Alta",'Mapa final'!#REF!="Menor"),CONCATENATE("R4C",'Mapa final'!#REF!),"")</f>
        <v>#REF!</v>
      </c>
      <c r="T9" s="51" t="e">
        <f>IF(AND('Mapa final'!#REF!="Muy Alta",'Mapa final'!#REF!="Menor"),CONCATENATE("R4C",'Mapa final'!#REF!),"")</f>
        <v>#REF!</v>
      </c>
      <c r="U9" s="52" t="e">
        <f>IF(AND('Mapa final'!#REF!="Muy Alta",'Mapa final'!#REF!="Menor"),CONCATENATE("R4C",'Mapa final'!#REF!),"")</f>
        <v>#REF!</v>
      </c>
      <c r="V9" s="50" t="str">
        <f>IF(AND('Mapa final'!$Z$12="Muy Alta",'Mapa final'!$AB$12="Moderado"),CONCATENATE("R4C",'Mapa final'!$P$12),"")</f>
        <v/>
      </c>
      <c r="W9" s="51" t="e">
        <f>IF(AND('Mapa final'!#REF!="Muy Alta",'Mapa final'!#REF!="Moderado"),CONCATENATE("R4C",'Mapa final'!#REF!),"")</f>
        <v>#REF!</v>
      </c>
      <c r="X9" s="51" t="e">
        <f>IF(AND('Mapa final'!#REF!="Muy Alta",'Mapa final'!#REF!="Moderado"),CONCATENATE("R4C",'Mapa final'!#REF!),"")</f>
        <v>#REF!</v>
      </c>
      <c r="Y9" s="51" t="e">
        <f>IF(AND('Mapa final'!#REF!="Muy Alta",'Mapa final'!#REF!="Moderado"),CONCATENATE("R4C",'Mapa final'!#REF!),"")</f>
        <v>#REF!</v>
      </c>
      <c r="Z9" s="51" t="e">
        <f>IF(AND('Mapa final'!#REF!="Muy Alta",'Mapa final'!#REF!="Moderado"),CONCATENATE("R4C",'Mapa final'!#REF!),"")</f>
        <v>#REF!</v>
      </c>
      <c r="AA9" s="52" t="e">
        <f>IF(AND('Mapa final'!#REF!="Muy Alta",'Mapa final'!#REF!="Moderado"),CONCATENATE("R4C",'Mapa final'!#REF!),"")</f>
        <v>#REF!</v>
      </c>
      <c r="AB9" s="50" t="str">
        <f>IF(AND('Mapa final'!$Z$12="Muy Alta",'Mapa final'!$AB$12="Mayor"),CONCATENATE("R4C",'Mapa final'!$P$12),"")</f>
        <v/>
      </c>
      <c r="AC9" s="51" t="e">
        <f>IF(AND('Mapa final'!#REF!="Muy Alta",'Mapa final'!#REF!="Mayor"),CONCATENATE("R4C",'Mapa final'!#REF!),"")</f>
        <v>#REF!</v>
      </c>
      <c r="AD9" s="51" t="e">
        <f>IF(AND('Mapa final'!#REF!="Muy Alta",'Mapa final'!#REF!="Mayor"),CONCATENATE("R4C",'Mapa final'!#REF!),"")</f>
        <v>#REF!</v>
      </c>
      <c r="AE9" s="51" t="e">
        <f>IF(AND('Mapa final'!#REF!="Muy Alta",'Mapa final'!#REF!="Mayor"),CONCATENATE("R4C",'Mapa final'!#REF!),"")</f>
        <v>#REF!</v>
      </c>
      <c r="AF9" s="51" t="e">
        <f>IF(AND('Mapa final'!#REF!="Muy Alta",'Mapa final'!#REF!="Mayor"),CONCATENATE("R4C",'Mapa final'!#REF!),"")</f>
        <v>#REF!</v>
      </c>
      <c r="AG9" s="52" t="e">
        <f>IF(AND('Mapa final'!#REF!="Muy Alta",'Mapa final'!#REF!="Mayor"),CONCATENATE("R4C",'Mapa final'!#REF!),"")</f>
        <v>#REF!</v>
      </c>
      <c r="AH9" s="53" t="str">
        <f>IF(AND('Mapa final'!$Z$12="Muy Alta",'Mapa final'!$AB$12="Catastrófico"),CONCATENATE("R4C",'Mapa final'!$P$12),"")</f>
        <v/>
      </c>
      <c r="AI9" s="54" t="e">
        <f>IF(AND('Mapa final'!#REF!="Muy Alta",'Mapa final'!#REF!="Catastrófico"),CONCATENATE("R4C",'Mapa final'!#REF!),"")</f>
        <v>#REF!</v>
      </c>
      <c r="AJ9" s="54" t="e">
        <f>IF(AND('Mapa final'!#REF!="Muy Alta",'Mapa final'!#REF!="Catastrófico"),CONCATENATE("R4C",'Mapa final'!#REF!),"")</f>
        <v>#REF!</v>
      </c>
      <c r="AK9" s="54" t="e">
        <f>IF(AND('Mapa final'!#REF!="Muy Alta",'Mapa final'!#REF!="Catastrófico"),CONCATENATE("R4C",'Mapa final'!#REF!),"")</f>
        <v>#REF!</v>
      </c>
      <c r="AL9" s="54" t="e">
        <f>IF(AND('Mapa final'!#REF!="Muy Alta",'Mapa final'!#REF!="Catastrófico"),CONCATENATE("R4C",'Mapa final'!#REF!),"")</f>
        <v>#REF!</v>
      </c>
      <c r="AM9" s="55" t="e">
        <f>IF(AND('Mapa final'!#REF!="Muy Alta",'Mapa final'!#REF!="Catastrófico"),CONCATENATE("R4C",'Mapa final'!#REF!),"")</f>
        <v>#REF!</v>
      </c>
      <c r="AN9" s="81"/>
      <c r="AO9" s="398"/>
      <c r="AP9" s="399"/>
      <c r="AQ9" s="399"/>
      <c r="AR9" s="399"/>
      <c r="AS9" s="399"/>
      <c r="AT9" s="400"/>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337"/>
      <c r="C10" s="337"/>
      <c r="D10" s="338"/>
      <c r="E10" s="378"/>
      <c r="F10" s="379"/>
      <c r="G10" s="379"/>
      <c r="H10" s="379"/>
      <c r="I10" s="380"/>
      <c r="J10" s="50" t="str">
        <f>IF(AND('Mapa final'!$Z$13="Muy Alta",'Mapa final'!$AB$13="Leve"),CONCATENATE("R5C",'Mapa final'!$P$13),"")</f>
        <v/>
      </c>
      <c r="K10" s="51" t="str">
        <f>IF(AND('Mapa final'!$Z$14="Muy Alta",'Mapa final'!$AB$14="Leve"),CONCATENATE("R5C",'Mapa final'!$P$14),"")</f>
        <v/>
      </c>
      <c r="L10" s="51" t="e">
        <f>IF(AND('Mapa final'!#REF!="Muy Alta",'Mapa final'!#REF!="Leve"),CONCATENATE("R5C",'Mapa final'!#REF!),"")</f>
        <v>#REF!</v>
      </c>
      <c r="M10" s="51" t="e">
        <f>IF(AND('Mapa final'!#REF!="Muy Alta",'Mapa final'!#REF!="Leve"),CONCATENATE("R5C",'Mapa final'!#REF!),"")</f>
        <v>#REF!</v>
      </c>
      <c r="N10" s="51" t="e">
        <f>IF(AND('Mapa final'!#REF!="Muy Alta",'Mapa final'!#REF!="Leve"),CONCATENATE("R5C",'Mapa final'!#REF!),"")</f>
        <v>#REF!</v>
      </c>
      <c r="O10" s="52" t="e">
        <f>IF(AND('Mapa final'!#REF!="Muy Alta",'Mapa final'!#REF!="Leve"),CONCATENATE("R5C",'Mapa final'!#REF!),"")</f>
        <v>#REF!</v>
      </c>
      <c r="P10" s="50" t="str">
        <f>IF(AND('Mapa final'!$Z$13="Muy Alta",'Mapa final'!$AB$13="Menor"),CONCATENATE("R5C",'Mapa final'!$P$13),"")</f>
        <v/>
      </c>
      <c r="Q10" s="51" t="str">
        <f>IF(AND('Mapa final'!$Z$14="Muy Alta",'Mapa final'!$AB$14="Menor"),CONCATENATE("R5C",'Mapa final'!$P$14),"")</f>
        <v/>
      </c>
      <c r="R10" s="51" t="e">
        <f>IF(AND('Mapa final'!#REF!="Muy Alta",'Mapa final'!#REF!="Menor"),CONCATENATE("R5C",'Mapa final'!#REF!),"")</f>
        <v>#REF!</v>
      </c>
      <c r="S10" s="51" t="e">
        <f>IF(AND('Mapa final'!#REF!="Muy Alta",'Mapa final'!#REF!="Menor"),CONCATENATE("R5C",'Mapa final'!#REF!),"")</f>
        <v>#REF!</v>
      </c>
      <c r="T10" s="51" t="e">
        <f>IF(AND('Mapa final'!#REF!="Muy Alta",'Mapa final'!#REF!="Menor"),CONCATENATE("R5C",'Mapa final'!#REF!),"")</f>
        <v>#REF!</v>
      </c>
      <c r="U10" s="52" t="e">
        <f>IF(AND('Mapa final'!#REF!="Muy Alta",'Mapa final'!#REF!="Menor"),CONCATENATE("R5C",'Mapa final'!#REF!),"")</f>
        <v>#REF!</v>
      </c>
      <c r="V10" s="50" t="str">
        <f>IF(AND('Mapa final'!$Z$13="Muy Alta",'Mapa final'!$AB$13="Moderado"),CONCATENATE("R5C",'Mapa final'!$P$13),"")</f>
        <v/>
      </c>
      <c r="W10" s="51" t="str">
        <f>IF(AND('Mapa final'!$Z$14="Muy Alta",'Mapa final'!$AB$14="Moderado"),CONCATENATE("R5C",'Mapa final'!$P$14),"")</f>
        <v/>
      </c>
      <c r="X10" s="51" t="e">
        <f>IF(AND('Mapa final'!#REF!="Muy Alta",'Mapa final'!#REF!="Moderado"),CONCATENATE("R5C",'Mapa final'!#REF!),"")</f>
        <v>#REF!</v>
      </c>
      <c r="Y10" s="51" t="e">
        <f>IF(AND('Mapa final'!#REF!="Muy Alta",'Mapa final'!#REF!="Moderado"),CONCATENATE("R5C",'Mapa final'!#REF!),"")</f>
        <v>#REF!</v>
      </c>
      <c r="Z10" s="51" t="e">
        <f>IF(AND('Mapa final'!#REF!="Muy Alta",'Mapa final'!#REF!="Moderado"),CONCATENATE("R5C",'Mapa final'!#REF!),"")</f>
        <v>#REF!</v>
      </c>
      <c r="AA10" s="52" t="e">
        <f>IF(AND('Mapa final'!#REF!="Muy Alta",'Mapa final'!#REF!="Moderado"),CONCATENATE("R5C",'Mapa final'!#REF!),"")</f>
        <v>#REF!</v>
      </c>
      <c r="AB10" s="50" t="str">
        <f>IF(AND('Mapa final'!$Z$13="Muy Alta",'Mapa final'!$AB$13="Mayor"),CONCATENATE("R5C",'Mapa final'!$P$13),"")</f>
        <v/>
      </c>
      <c r="AC10" s="51" t="str">
        <f>IF(AND('Mapa final'!$Z$14="Muy Alta",'Mapa final'!$AB$14="Mayor"),CONCATENATE("R5C",'Mapa final'!$P$14),"")</f>
        <v/>
      </c>
      <c r="AD10" s="51" t="e">
        <f>IF(AND('Mapa final'!#REF!="Muy Alta",'Mapa final'!#REF!="Mayor"),CONCATENATE("R5C",'Mapa final'!#REF!),"")</f>
        <v>#REF!</v>
      </c>
      <c r="AE10" s="51" t="e">
        <f>IF(AND('Mapa final'!#REF!="Muy Alta",'Mapa final'!#REF!="Mayor"),CONCATENATE("R5C",'Mapa final'!#REF!),"")</f>
        <v>#REF!</v>
      </c>
      <c r="AF10" s="51" t="e">
        <f>IF(AND('Mapa final'!#REF!="Muy Alta",'Mapa final'!#REF!="Mayor"),CONCATENATE("R5C",'Mapa final'!#REF!),"")</f>
        <v>#REF!</v>
      </c>
      <c r="AG10" s="52" t="e">
        <f>IF(AND('Mapa final'!#REF!="Muy Alta",'Mapa final'!#REF!="Mayor"),CONCATENATE("R5C",'Mapa final'!#REF!),"")</f>
        <v>#REF!</v>
      </c>
      <c r="AH10" s="53" t="str">
        <f>IF(AND('Mapa final'!$Z$13="Muy Alta",'Mapa final'!$AB$13="Catastrófico"),CONCATENATE("R5C",'Mapa final'!$P$13),"")</f>
        <v/>
      </c>
      <c r="AI10" s="54" t="str">
        <f>IF(AND('Mapa final'!$Z$14="Muy Alta",'Mapa final'!$AB$14="Catastrófico"),CONCATENATE("R5C",'Mapa final'!$P$14),"")</f>
        <v/>
      </c>
      <c r="AJ10" s="54" t="e">
        <f>IF(AND('Mapa final'!#REF!="Muy Alta",'Mapa final'!#REF!="Catastrófico"),CONCATENATE("R5C",'Mapa final'!#REF!),"")</f>
        <v>#REF!</v>
      </c>
      <c r="AK10" s="54" t="e">
        <f>IF(AND('Mapa final'!#REF!="Muy Alta",'Mapa final'!#REF!="Catastrófico"),CONCATENATE("R5C",'Mapa final'!#REF!),"")</f>
        <v>#REF!</v>
      </c>
      <c r="AL10" s="54" t="e">
        <f>IF(AND('Mapa final'!#REF!="Muy Alta",'Mapa final'!#REF!="Catastrófico"),CONCATENATE("R5C",'Mapa final'!#REF!),"")</f>
        <v>#REF!</v>
      </c>
      <c r="AM10" s="55" t="e">
        <f>IF(AND('Mapa final'!#REF!="Muy Alta",'Mapa final'!#REF!="Catastrófico"),CONCATENATE("R5C",'Mapa final'!#REF!),"")</f>
        <v>#REF!</v>
      </c>
      <c r="AN10" s="81"/>
      <c r="AO10" s="398"/>
      <c r="AP10" s="399"/>
      <c r="AQ10" s="399"/>
      <c r="AR10" s="399"/>
      <c r="AS10" s="399"/>
      <c r="AT10" s="400"/>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337"/>
      <c r="C11" s="337"/>
      <c r="D11" s="338"/>
      <c r="E11" s="378"/>
      <c r="F11" s="379"/>
      <c r="G11" s="379"/>
      <c r="H11" s="379"/>
      <c r="I11" s="380"/>
      <c r="J11" s="50" t="str">
        <f>IF(AND('Mapa final'!$Z$15="Muy Alta",'Mapa final'!$AB$15="Leve"),CONCATENATE("R6C",'Mapa final'!$P$15),"")</f>
        <v/>
      </c>
      <c r="K11" s="51" t="str">
        <f>IF(AND('Mapa final'!$Z$16="Muy Alta",'Mapa final'!$AB$16="Leve"),CONCATENATE("R6C",'Mapa final'!$P$16),"")</f>
        <v/>
      </c>
      <c r="L11" s="51" t="str">
        <f>IF(AND('Mapa final'!$Z$17="Muy Alta",'Mapa final'!$AB$17="Leve"),CONCATENATE("R6C",'Mapa final'!$P$17),"")</f>
        <v/>
      </c>
      <c r="M11" s="51" t="e">
        <f>IF(AND('Mapa final'!#REF!="Muy Alta",'Mapa final'!#REF!="Leve"),CONCATENATE("R6C",'Mapa final'!#REF!),"")</f>
        <v>#REF!</v>
      </c>
      <c r="N11" s="51" t="e">
        <f>IF(AND('Mapa final'!#REF!="Muy Alta",'Mapa final'!#REF!="Leve"),CONCATENATE("R6C",'Mapa final'!#REF!),"")</f>
        <v>#REF!</v>
      </c>
      <c r="O11" s="52" t="e">
        <f>IF(AND('Mapa final'!#REF!="Muy Alta",'Mapa final'!#REF!="Leve"),CONCATENATE("R6C",'Mapa final'!#REF!),"")</f>
        <v>#REF!</v>
      </c>
      <c r="P11" s="50" t="str">
        <f>IF(AND('Mapa final'!$Z$15="Muy Alta",'Mapa final'!$AB$15="Menor"),CONCATENATE("R6C",'Mapa final'!$P$15),"")</f>
        <v/>
      </c>
      <c r="Q11" s="51" t="str">
        <f>IF(AND('Mapa final'!$Z$16="Muy Alta",'Mapa final'!$AB$16="Menor"),CONCATENATE("R6C",'Mapa final'!$P$16),"")</f>
        <v/>
      </c>
      <c r="R11" s="51" t="str">
        <f>IF(AND('Mapa final'!$Z$17="Muy Alta",'Mapa final'!$AB$17="Menor"),CONCATENATE("R6C",'Mapa final'!$P$17),"")</f>
        <v/>
      </c>
      <c r="S11" s="51" t="e">
        <f>IF(AND('Mapa final'!#REF!="Muy Alta",'Mapa final'!#REF!="Menor"),CONCATENATE("R6C",'Mapa final'!#REF!),"")</f>
        <v>#REF!</v>
      </c>
      <c r="T11" s="51" t="e">
        <f>IF(AND('Mapa final'!#REF!="Muy Alta",'Mapa final'!#REF!="Menor"),CONCATENATE("R6C",'Mapa final'!#REF!),"")</f>
        <v>#REF!</v>
      </c>
      <c r="U11" s="52" t="e">
        <f>IF(AND('Mapa final'!#REF!="Muy Alta",'Mapa final'!#REF!="Menor"),CONCATENATE("R6C",'Mapa final'!#REF!),"")</f>
        <v>#REF!</v>
      </c>
      <c r="V11" s="50" t="str">
        <f>IF(AND('Mapa final'!$Z$15="Muy Alta",'Mapa final'!$AB$15="Moderado"),CONCATENATE("R6C",'Mapa final'!$P$15),"")</f>
        <v/>
      </c>
      <c r="W11" s="51" t="str">
        <f>IF(AND('Mapa final'!$Z$16="Muy Alta",'Mapa final'!$AB$16="Moderado"),CONCATENATE("R6C",'Mapa final'!$P$16),"")</f>
        <v/>
      </c>
      <c r="X11" s="51" t="str">
        <f>IF(AND('Mapa final'!$Z$17="Muy Alta",'Mapa final'!$AB$17="Moderado"),CONCATENATE("R6C",'Mapa final'!$P$17),"")</f>
        <v/>
      </c>
      <c r="Y11" s="51" t="e">
        <f>IF(AND('Mapa final'!#REF!="Muy Alta",'Mapa final'!#REF!="Moderado"),CONCATENATE("R6C",'Mapa final'!#REF!),"")</f>
        <v>#REF!</v>
      </c>
      <c r="Z11" s="51" t="e">
        <f>IF(AND('Mapa final'!#REF!="Muy Alta",'Mapa final'!#REF!="Moderado"),CONCATENATE("R6C",'Mapa final'!#REF!),"")</f>
        <v>#REF!</v>
      </c>
      <c r="AA11" s="52" t="e">
        <f>IF(AND('Mapa final'!#REF!="Muy Alta",'Mapa final'!#REF!="Moderado"),CONCATENATE("R6C",'Mapa final'!#REF!),"")</f>
        <v>#REF!</v>
      </c>
      <c r="AB11" s="50" t="str">
        <f>IF(AND('Mapa final'!$Z$15="Muy Alta",'Mapa final'!$AB$15="Mayor"),CONCATENATE("R6C",'Mapa final'!$P$15),"")</f>
        <v/>
      </c>
      <c r="AC11" s="51" t="str">
        <f>IF(AND('Mapa final'!$Z$16="Muy Alta",'Mapa final'!$AB$16="Mayor"),CONCATENATE("R6C",'Mapa final'!$P$16),"")</f>
        <v/>
      </c>
      <c r="AD11" s="51" t="str">
        <f>IF(AND('Mapa final'!$Z$17="Muy Alta",'Mapa final'!$AB$17="Mayor"),CONCATENATE("R6C",'Mapa final'!$P$17),"")</f>
        <v/>
      </c>
      <c r="AE11" s="51" t="e">
        <f>IF(AND('Mapa final'!#REF!="Muy Alta",'Mapa final'!#REF!="Mayor"),CONCATENATE("R6C",'Mapa final'!#REF!),"")</f>
        <v>#REF!</v>
      </c>
      <c r="AF11" s="51" t="e">
        <f>IF(AND('Mapa final'!#REF!="Muy Alta",'Mapa final'!#REF!="Mayor"),CONCATENATE("R6C",'Mapa final'!#REF!),"")</f>
        <v>#REF!</v>
      </c>
      <c r="AG11" s="52" t="e">
        <f>IF(AND('Mapa final'!#REF!="Muy Alta",'Mapa final'!#REF!="Mayor"),CONCATENATE("R6C",'Mapa final'!#REF!),"")</f>
        <v>#REF!</v>
      </c>
      <c r="AH11" s="53" t="str">
        <f>IF(AND('Mapa final'!$Z$15="Muy Alta",'Mapa final'!$AB$15="Catastrófico"),CONCATENATE("R6C",'Mapa final'!$P$15),"")</f>
        <v/>
      </c>
      <c r="AI11" s="54" t="str">
        <f>IF(AND('Mapa final'!$Z$16="Muy Alta",'Mapa final'!$AB$16="Catastrófico"),CONCATENATE("R6C",'Mapa final'!$P$16),"")</f>
        <v/>
      </c>
      <c r="AJ11" s="54" t="str">
        <f>IF(AND('Mapa final'!$Z$17="Muy Alta",'Mapa final'!$AB$17="Catastrófico"),CONCATENATE("R6C",'Mapa final'!$P$17),"")</f>
        <v/>
      </c>
      <c r="AK11" s="54" t="e">
        <f>IF(AND('Mapa final'!#REF!="Muy Alta",'Mapa final'!#REF!="Catastrófico"),CONCATENATE("R6C",'Mapa final'!#REF!),"")</f>
        <v>#REF!</v>
      </c>
      <c r="AL11" s="54" t="e">
        <f>IF(AND('Mapa final'!#REF!="Muy Alta",'Mapa final'!#REF!="Catastrófico"),CONCATENATE("R6C",'Mapa final'!#REF!),"")</f>
        <v>#REF!</v>
      </c>
      <c r="AM11" s="55" t="e">
        <f>IF(AND('Mapa final'!#REF!="Muy Alta",'Mapa final'!#REF!="Catastrófico"),CONCATENATE("R6C",'Mapa final'!#REF!),"")</f>
        <v>#REF!</v>
      </c>
      <c r="AN11" s="81"/>
      <c r="AO11" s="398"/>
      <c r="AP11" s="399"/>
      <c r="AQ11" s="399"/>
      <c r="AR11" s="399"/>
      <c r="AS11" s="399"/>
      <c r="AT11" s="400"/>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337"/>
      <c r="C12" s="337"/>
      <c r="D12" s="338"/>
      <c r="E12" s="378"/>
      <c r="F12" s="379"/>
      <c r="G12" s="379"/>
      <c r="H12" s="379"/>
      <c r="I12" s="380"/>
      <c r="J12" s="50" t="str">
        <f>IF(AND('Mapa final'!$Z$18="Muy Alta",'Mapa final'!$AB$18="Leve"),CONCATENATE("R7C",'Mapa final'!$P$18),"")</f>
        <v/>
      </c>
      <c r="K12" s="51" t="str">
        <f>IF(AND('Mapa final'!$Z$19="Muy Alta",'Mapa final'!$AB$19="Leve"),CONCATENATE("R7C",'Mapa final'!$P$19),"")</f>
        <v/>
      </c>
      <c r="L12" s="51" t="e">
        <f>IF(AND('Mapa final'!#REF!="Muy Alta",'Mapa final'!#REF!="Leve"),CONCATENATE("R7C",'Mapa final'!#REF!),"")</f>
        <v>#REF!</v>
      </c>
      <c r="M12" s="51" t="e">
        <f>IF(AND('Mapa final'!#REF!="Muy Alta",'Mapa final'!#REF!="Leve"),CONCATENATE("R7C",'Mapa final'!#REF!),"")</f>
        <v>#REF!</v>
      </c>
      <c r="N12" s="51" t="e">
        <f>IF(AND('Mapa final'!#REF!="Muy Alta",'Mapa final'!#REF!="Leve"),CONCATENATE("R7C",'Mapa final'!#REF!),"")</f>
        <v>#REF!</v>
      </c>
      <c r="O12" s="52" t="e">
        <f>IF(AND('Mapa final'!#REF!="Muy Alta",'Mapa final'!#REF!="Leve"),CONCATENATE("R7C",'Mapa final'!#REF!),"")</f>
        <v>#REF!</v>
      </c>
      <c r="P12" s="50" t="str">
        <f>IF(AND('Mapa final'!$Z$18="Muy Alta",'Mapa final'!$AB$18="Menor"),CONCATENATE("R7C",'Mapa final'!$P$18),"")</f>
        <v/>
      </c>
      <c r="Q12" s="51" t="str">
        <f>IF(AND('Mapa final'!$Z$19="Muy Alta",'Mapa final'!$AB$19="Menor"),CONCATENATE("R7C",'Mapa final'!$P$19),"")</f>
        <v/>
      </c>
      <c r="R12" s="51" t="e">
        <f>IF(AND('Mapa final'!#REF!="Muy Alta",'Mapa final'!#REF!="Menor"),CONCATENATE("R7C",'Mapa final'!#REF!),"")</f>
        <v>#REF!</v>
      </c>
      <c r="S12" s="51" t="e">
        <f>IF(AND('Mapa final'!#REF!="Muy Alta",'Mapa final'!#REF!="Menor"),CONCATENATE("R7C",'Mapa final'!#REF!),"")</f>
        <v>#REF!</v>
      </c>
      <c r="T12" s="51" t="e">
        <f>IF(AND('Mapa final'!#REF!="Muy Alta",'Mapa final'!#REF!="Menor"),CONCATENATE("R7C",'Mapa final'!#REF!),"")</f>
        <v>#REF!</v>
      </c>
      <c r="U12" s="52" t="e">
        <f>IF(AND('Mapa final'!#REF!="Muy Alta",'Mapa final'!#REF!="Menor"),CONCATENATE("R7C",'Mapa final'!#REF!),"")</f>
        <v>#REF!</v>
      </c>
      <c r="V12" s="50" t="str">
        <f>IF(AND('Mapa final'!$Z$18="Muy Alta",'Mapa final'!$AB$18="Moderado"),CONCATENATE("R7C",'Mapa final'!$P$18),"")</f>
        <v/>
      </c>
      <c r="W12" s="51" t="str">
        <f>IF(AND('Mapa final'!$Z$19="Muy Alta",'Mapa final'!$AB$19="Moderado"),CONCATENATE("R7C",'Mapa final'!$P$19),"")</f>
        <v/>
      </c>
      <c r="X12" s="51" t="e">
        <f>IF(AND('Mapa final'!#REF!="Muy Alta",'Mapa final'!#REF!="Moderado"),CONCATENATE("R7C",'Mapa final'!#REF!),"")</f>
        <v>#REF!</v>
      </c>
      <c r="Y12" s="51" t="e">
        <f>IF(AND('Mapa final'!#REF!="Muy Alta",'Mapa final'!#REF!="Moderado"),CONCATENATE("R7C",'Mapa final'!#REF!),"")</f>
        <v>#REF!</v>
      </c>
      <c r="Z12" s="51" t="e">
        <f>IF(AND('Mapa final'!#REF!="Muy Alta",'Mapa final'!#REF!="Moderado"),CONCATENATE("R7C",'Mapa final'!#REF!),"")</f>
        <v>#REF!</v>
      </c>
      <c r="AA12" s="52" t="e">
        <f>IF(AND('Mapa final'!#REF!="Muy Alta",'Mapa final'!#REF!="Moderado"),CONCATENATE("R7C",'Mapa final'!#REF!),"")</f>
        <v>#REF!</v>
      </c>
      <c r="AB12" s="50" t="str">
        <f>IF(AND('Mapa final'!$Z$18="Muy Alta",'Mapa final'!$AB$18="Mayor"),CONCATENATE("R7C",'Mapa final'!$P$18),"")</f>
        <v/>
      </c>
      <c r="AC12" s="51" t="str">
        <f>IF(AND('Mapa final'!$Z$19="Muy Alta",'Mapa final'!$AB$19="Mayor"),CONCATENATE("R7C",'Mapa final'!$P$19),"")</f>
        <v/>
      </c>
      <c r="AD12" s="51" t="e">
        <f>IF(AND('Mapa final'!#REF!="Muy Alta",'Mapa final'!#REF!="Mayor"),CONCATENATE("R7C",'Mapa final'!#REF!),"")</f>
        <v>#REF!</v>
      </c>
      <c r="AE12" s="51" t="e">
        <f>IF(AND('Mapa final'!#REF!="Muy Alta",'Mapa final'!#REF!="Mayor"),CONCATENATE("R7C",'Mapa final'!#REF!),"")</f>
        <v>#REF!</v>
      </c>
      <c r="AF12" s="51" t="e">
        <f>IF(AND('Mapa final'!#REF!="Muy Alta",'Mapa final'!#REF!="Mayor"),CONCATENATE("R7C",'Mapa final'!#REF!),"")</f>
        <v>#REF!</v>
      </c>
      <c r="AG12" s="52" t="e">
        <f>IF(AND('Mapa final'!#REF!="Muy Alta",'Mapa final'!#REF!="Mayor"),CONCATENATE("R7C",'Mapa final'!#REF!),"")</f>
        <v>#REF!</v>
      </c>
      <c r="AH12" s="53" t="str">
        <f>IF(AND('Mapa final'!$Z$18="Muy Alta",'Mapa final'!$AB$18="Catastrófico"),CONCATENATE("R7C",'Mapa final'!$P$18),"")</f>
        <v/>
      </c>
      <c r="AI12" s="54" t="str">
        <f>IF(AND('Mapa final'!$Z$19="Muy Alta",'Mapa final'!$AB$19="Catastrófico"),CONCATENATE("R7C",'Mapa final'!$P$19),"")</f>
        <v/>
      </c>
      <c r="AJ12" s="54" t="e">
        <f>IF(AND('Mapa final'!#REF!="Muy Alta",'Mapa final'!#REF!="Catastrófico"),CONCATENATE("R7C",'Mapa final'!#REF!),"")</f>
        <v>#REF!</v>
      </c>
      <c r="AK12" s="54" t="e">
        <f>IF(AND('Mapa final'!#REF!="Muy Alta",'Mapa final'!#REF!="Catastrófico"),CONCATENATE("R7C",'Mapa final'!#REF!),"")</f>
        <v>#REF!</v>
      </c>
      <c r="AL12" s="54" t="e">
        <f>IF(AND('Mapa final'!#REF!="Muy Alta",'Mapa final'!#REF!="Catastrófico"),CONCATENATE("R7C",'Mapa final'!#REF!),"")</f>
        <v>#REF!</v>
      </c>
      <c r="AM12" s="55" t="e">
        <f>IF(AND('Mapa final'!#REF!="Muy Alta",'Mapa final'!#REF!="Catastrófico"),CONCATENATE("R7C",'Mapa final'!#REF!),"")</f>
        <v>#REF!</v>
      </c>
      <c r="AN12" s="81"/>
      <c r="AO12" s="398"/>
      <c r="AP12" s="399"/>
      <c r="AQ12" s="399"/>
      <c r="AR12" s="399"/>
      <c r="AS12" s="399"/>
      <c r="AT12" s="400"/>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337"/>
      <c r="C13" s="337"/>
      <c r="D13" s="338"/>
      <c r="E13" s="378"/>
      <c r="F13" s="379"/>
      <c r="G13" s="379"/>
      <c r="H13" s="379"/>
      <c r="I13" s="380"/>
      <c r="J13" s="50" t="str">
        <f>IF(AND('Mapa final'!$Z$20="Muy Alta",'Mapa final'!$AB$20="Leve"),CONCATENATE("R8C",'Mapa final'!$P$20),"")</f>
        <v/>
      </c>
      <c r="K13" s="51" t="str">
        <f>IF(AND('Mapa final'!$Z$21="Muy Alta",'Mapa final'!$AB$21="Leve"),CONCATENATE("R8C",'Mapa final'!$P$21),"")</f>
        <v/>
      </c>
      <c r="L13" s="51" t="e">
        <f>IF(AND('Mapa final'!#REF!="Muy Alta",'Mapa final'!#REF!="Leve"),CONCATENATE("R8C",'Mapa final'!#REF!),"")</f>
        <v>#REF!</v>
      </c>
      <c r="M13" s="51" t="e">
        <f>IF(AND('Mapa final'!#REF!="Muy Alta",'Mapa final'!#REF!="Leve"),CONCATENATE("R8C",'Mapa final'!#REF!),"")</f>
        <v>#REF!</v>
      </c>
      <c r="N13" s="51" t="e">
        <f>IF(AND('Mapa final'!#REF!="Muy Alta",'Mapa final'!#REF!="Leve"),CONCATENATE("R8C",'Mapa final'!#REF!),"")</f>
        <v>#REF!</v>
      </c>
      <c r="O13" s="52" t="e">
        <f>IF(AND('Mapa final'!#REF!="Muy Alta",'Mapa final'!#REF!="Leve"),CONCATENATE("R8C",'Mapa final'!#REF!),"")</f>
        <v>#REF!</v>
      </c>
      <c r="P13" s="50" t="str">
        <f>IF(AND('Mapa final'!$Z$20="Muy Alta",'Mapa final'!$AB$20="Menor"),CONCATENATE("R8C",'Mapa final'!$P$20),"")</f>
        <v/>
      </c>
      <c r="Q13" s="51" t="str">
        <f>IF(AND('Mapa final'!$Z$21="Muy Alta",'Mapa final'!$AB$21="Menor"),CONCATENATE("R8C",'Mapa final'!$P$21),"")</f>
        <v/>
      </c>
      <c r="R13" s="51" t="e">
        <f>IF(AND('Mapa final'!#REF!="Muy Alta",'Mapa final'!#REF!="Menor"),CONCATENATE("R8C",'Mapa final'!#REF!),"")</f>
        <v>#REF!</v>
      </c>
      <c r="S13" s="51" t="e">
        <f>IF(AND('Mapa final'!#REF!="Muy Alta",'Mapa final'!#REF!="Menor"),CONCATENATE("R8C",'Mapa final'!#REF!),"")</f>
        <v>#REF!</v>
      </c>
      <c r="T13" s="51" t="e">
        <f>IF(AND('Mapa final'!#REF!="Muy Alta",'Mapa final'!#REF!="Menor"),CONCATENATE("R8C",'Mapa final'!#REF!),"")</f>
        <v>#REF!</v>
      </c>
      <c r="U13" s="52" t="e">
        <f>IF(AND('Mapa final'!#REF!="Muy Alta",'Mapa final'!#REF!="Menor"),CONCATENATE("R8C",'Mapa final'!#REF!),"")</f>
        <v>#REF!</v>
      </c>
      <c r="V13" s="50" t="str">
        <f>IF(AND('Mapa final'!$Z$20="Muy Alta",'Mapa final'!$AB$20="Moderado"),CONCATENATE("R8C",'Mapa final'!$P$20),"")</f>
        <v/>
      </c>
      <c r="W13" s="51" t="str">
        <f>IF(AND('Mapa final'!$Z$21="Muy Alta",'Mapa final'!$AB$21="Moderado"),CONCATENATE("R8C",'Mapa final'!$P$21),"")</f>
        <v/>
      </c>
      <c r="X13" s="51" t="e">
        <f>IF(AND('Mapa final'!#REF!="Muy Alta",'Mapa final'!#REF!="Moderado"),CONCATENATE("R8C",'Mapa final'!#REF!),"")</f>
        <v>#REF!</v>
      </c>
      <c r="Y13" s="51" t="e">
        <f>IF(AND('Mapa final'!#REF!="Muy Alta",'Mapa final'!#REF!="Moderado"),CONCATENATE("R8C",'Mapa final'!#REF!),"")</f>
        <v>#REF!</v>
      </c>
      <c r="Z13" s="51" t="e">
        <f>IF(AND('Mapa final'!#REF!="Muy Alta",'Mapa final'!#REF!="Moderado"),CONCATENATE("R8C",'Mapa final'!#REF!),"")</f>
        <v>#REF!</v>
      </c>
      <c r="AA13" s="52" t="e">
        <f>IF(AND('Mapa final'!#REF!="Muy Alta",'Mapa final'!#REF!="Moderado"),CONCATENATE("R8C",'Mapa final'!#REF!),"")</f>
        <v>#REF!</v>
      </c>
      <c r="AB13" s="50" t="str">
        <f>IF(AND('Mapa final'!$Z$20="Muy Alta",'Mapa final'!$AB$20="Mayor"),CONCATENATE("R8C",'Mapa final'!$P$20),"")</f>
        <v/>
      </c>
      <c r="AC13" s="51" t="str">
        <f>IF(AND('Mapa final'!$Z$21="Muy Alta",'Mapa final'!$AB$21="Mayor"),CONCATENATE("R8C",'Mapa final'!$P$21),"")</f>
        <v/>
      </c>
      <c r="AD13" s="51" t="e">
        <f>IF(AND('Mapa final'!#REF!="Muy Alta",'Mapa final'!#REF!="Mayor"),CONCATENATE("R8C",'Mapa final'!#REF!),"")</f>
        <v>#REF!</v>
      </c>
      <c r="AE13" s="51" t="e">
        <f>IF(AND('Mapa final'!#REF!="Muy Alta",'Mapa final'!#REF!="Mayor"),CONCATENATE("R8C",'Mapa final'!#REF!),"")</f>
        <v>#REF!</v>
      </c>
      <c r="AF13" s="51" t="e">
        <f>IF(AND('Mapa final'!#REF!="Muy Alta",'Mapa final'!#REF!="Mayor"),CONCATENATE("R8C",'Mapa final'!#REF!),"")</f>
        <v>#REF!</v>
      </c>
      <c r="AG13" s="52" t="e">
        <f>IF(AND('Mapa final'!#REF!="Muy Alta",'Mapa final'!#REF!="Mayor"),CONCATENATE("R8C",'Mapa final'!#REF!),"")</f>
        <v>#REF!</v>
      </c>
      <c r="AH13" s="53" t="str">
        <f>IF(AND('Mapa final'!$Z$20="Muy Alta",'Mapa final'!$AB$20="Catastrófico"),CONCATENATE("R8C",'Mapa final'!$P$20),"")</f>
        <v/>
      </c>
      <c r="AI13" s="54" t="str">
        <f>IF(AND('Mapa final'!$Z$21="Muy Alta",'Mapa final'!$AB$21="Catastrófico"),CONCATENATE("R8C",'Mapa final'!$P$21),"")</f>
        <v/>
      </c>
      <c r="AJ13" s="54" t="e">
        <f>IF(AND('Mapa final'!#REF!="Muy Alta",'Mapa final'!#REF!="Catastrófico"),CONCATENATE("R8C",'Mapa final'!#REF!),"")</f>
        <v>#REF!</v>
      </c>
      <c r="AK13" s="54" t="e">
        <f>IF(AND('Mapa final'!#REF!="Muy Alta",'Mapa final'!#REF!="Catastrófico"),CONCATENATE("R8C",'Mapa final'!#REF!),"")</f>
        <v>#REF!</v>
      </c>
      <c r="AL13" s="54" t="e">
        <f>IF(AND('Mapa final'!#REF!="Muy Alta",'Mapa final'!#REF!="Catastrófico"),CONCATENATE("R8C",'Mapa final'!#REF!),"")</f>
        <v>#REF!</v>
      </c>
      <c r="AM13" s="55" t="e">
        <f>IF(AND('Mapa final'!#REF!="Muy Alta",'Mapa final'!#REF!="Catastrófico"),CONCATENATE("R8C",'Mapa final'!#REF!),"")</f>
        <v>#REF!</v>
      </c>
      <c r="AN13" s="81"/>
      <c r="AO13" s="398"/>
      <c r="AP13" s="399"/>
      <c r="AQ13" s="399"/>
      <c r="AR13" s="399"/>
      <c r="AS13" s="399"/>
      <c r="AT13" s="400"/>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337"/>
      <c r="C14" s="337"/>
      <c r="D14" s="338"/>
      <c r="E14" s="378"/>
      <c r="F14" s="379"/>
      <c r="G14" s="379"/>
      <c r="H14" s="379"/>
      <c r="I14" s="380"/>
      <c r="J14" s="50" t="str">
        <f>IF(AND('Mapa final'!$Z$22="Muy Alta",'Mapa final'!$AB$22="Leve"),CONCATENATE("R9C",'Mapa final'!$P$22),"")</f>
        <v/>
      </c>
      <c r="K14" s="51" t="str">
        <f>IF(AND('Mapa final'!$Z$23="Muy Alta",'Mapa final'!$AB$23="Leve"),CONCATENATE("R9C",'Mapa final'!$P$23),"")</f>
        <v/>
      </c>
      <c r="L14" s="51" t="e">
        <f>IF(AND('Mapa final'!#REF!="Muy Alta",'Mapa final'!#REF!="Leve"),CONCATENATE("R9C",'Mapa final'!#REF!),"")</f>
        <v>#REF!</v>
      </c>
      <c r="M14" s="51" t="e">
        <f>IF(AND('Mapa final'!#REF!="Muy Alta",'Mapa final'!#REF!="Leve"),CONCATENATE("R9C",'Mapa final'!#REF!),"")</f>
        <v>#REF!</v>
      </c>
      <c r="N14" s="51" t="e">
        <f>IF(AND('Mapa final'!#REF!="Muy Alta",'Mapa final'!#REF!="Leve"),CONCATENATE("R9C",'Mapa final'!#REF!),"")</f>
        <v>#REF!</v>
      </c>
      <c r="O14" s="52" t="e">
        <f>IF(AND('Mapa final'!#REF!="Muy Alta",'Mapa final'!#REF!="Leve"),CONCATENATE("R9C",'Mapa final'!#REF!),"")</f>
        <v>#REF!</v>
      </c>
      <c r="P14" s="50" t="str">
        <f>IF(AND('Mapa final'!$Z$22="Muy Alta",'Mapa final'!$AB$22="Menor"),CONCATENATE("R9C",'Mapa final'!$P$22),"")</f>
        <v/>
      </c>
      <c r="Q14" s="51" t="str">
        <f>IF(AND('Mapa final'!$Z$23="Muy Alta",'Mapa final'!$AB$23="Menor"),CONCATENATE("R9C",'Mapa final'!$P$23),"")</f>
        <v/>
      </c>
      <c r="R14" s="51" t="e">
        <f>IF(AND('Mapa final'!#REF!="Muy Alta",'Mapa final'!#REF!="Menor"),CONCATENATE("R9C",'Mapa final'!#REF!),"")</f>
        <v>#REF!</v>
      </c>
      <c r="S14" s="51" t="e">
        <f>IF(AND('Mapa final'!#REF!="Muy Alta",'Mapa final'!#REF!="Menor"),CONCATENATE("R9C",'Mapa final'!#REF!),"")</f>
        <v>#REF!</v>
      </c>
      <c r="T14" s="51" t="e">
        <f>IF(AND('Mapa final'!#REF!="Muy Alta",'Mapa final'!#REF!="Menor"),CONCATENATE("R9C",'Mapa final'!#REF!),"")</f>
        <v>#REF!</v>
      </c>
      <c r="U14" s="52" t="e">
        <f>IF(AND('Mapa final'!#REF!="Muy Alta",'Mapa final'!#REF!="Menor"),CONCATENATE("R9C",'Mapa final'!#REF!),"")</f>
        <v>#REF!</v>
      </c>
      <c r="V14" s="50" t="str">
        <f>IF(AND('Mapa final'!$Z$22="Muy Alta",'Mapa final'!$AB$22="Moderado"),CONCATENATE("R9C",'Mapa final'!$P$22),"")</f>
        <v/>
      </c>
      <c r="W14" s="51" t="str">
        <f>IF(AND('Mapa final'!$Z$23="Muy Alta",'Mapa final'!$AB$23="Moderado"),CONCATENATE("R9C",'Mapa final'!$P$23),"")</f>
        <v/>
      </c>
      <c r="X14" s="51" t="e">
        <f>IF(AND('Mapa final'!#REF!="Muy Alta",'Mapa final'!#REF!="Moderado"),CONCATENATE("R9C",'Mapa final'!#REF!),"")</f>
        <v>#REF!</v>
      </c>
      <c r="Y14" s="51" t="e">
        <f>IF(AND('Mapa final'!#REF!="Muy Alta",'Mapa final'!#REF!="Moderado"),CONCATENATE("R9C",'Mapa final'!#REF!),"")</f>
        <v>#REF!</v>
      </c>
      <c r="Z14" s="51" t="e">
        <f>IF(AND('Mapa final'!#REF!="Muy Alta",'Mapa final'!#REF!="Moderado"),CONCATENATE("R9C",'Mapa final'!#REF!),"")</f>
        <v>#REF!</v>
      </c>
      <c r="AA14" s="52" t="e">
        <f>IF(AND('Mapa final'!#REF!="Muy Alta",'Mapa final'!#REF!="Moderado"),CONCATENATE("R9C",'Mapa final'!#REF!),"")</f>
        <v>#REF!</v>
      </c>
      <c r="AB14" s="50" t="str">
        <f>IF(AND('Mapa final'!$Z$22="Muy Alta",'Mapa final'!$AB$22="Mayor"),CONCATENATE("R9C",'Mapa final'!$P$22),"")</f>
        <v/>
      </c>
      <c r="AC14" s="51" t="str">
        <f>IF(AND('Mapa final'!$Z$23="Muy Alta",'Mapa final'!$AB$23="Mayor"),CONCATENATE("R9C",'Mapa final'!$P$23),"")</f>
        <v/>
      </c>
      <c r="AD14" s="51" t="e">
        <f>IF(AND('Mapa final'!#REF!="Muy Alta",'Mapa final'!#REF!="Mayor"),CONCATENATE("R9C",'Mapa final'!#REF!),"")</f>
        <v>#REF!</v>
      </c>
      <c r="AE14" s="51" t="e">
        <f>IF(AND('Mapa final'!#REF!="Muy Alta",'Mapa final'!#REF!="Mayor"),CONCATENATE("R9C",'Mapa final'!#REF!),"")</f>
        <v>#REF!</v>
      </c>
      <c r="AF14" s="51" t="e">
        <f>IF(AND('Mapa final'!#REF!="Muy Alta",'Mapa final'!#REF!="Mayor"),CONCATENATE("R9C",'Mapa final'!#REF!),"")</f>
        <v>#REF!</v>
      </c>
      <c r="AG14" s="52" t="e">
        <f>IF(AND('Mapa final'!#REF!="Muy Alta",'Mapa final'!#REF!="Mayor"),CONCATENATE("R9C",'Mapa final'!#REF!),"")</f>
        <v>#REF!</v>
      </c>
      <c r="AH14" s="53" t="str">
        <f>IF(AND('Mapa final'!$Z$22="Muy Alta",'Mapa final'!$AB$22="Catastrófico"),CONCATENATE("R9C",'Mapa final'!$P$22),"")</f>
        <v/>
      </c>
      <c r="AI14" s="54" t="str">
        <f>IF(AND('Mapa final'!$Z$23="Muy Alta",'Mapa final'!$AB$23="Catastrófico"),CONCATENATE("R9C",'Mapa final'!$P$23),"")</f>
        <v/>
      </c>
      <c r="AJ14" s="54" t="e">
        <f>IF(AND('Mapa final'!#REF!="Muy Alta",'Mapa final'!#REF!="Catastrófico"),CONCATENATE("R9C",'Mapa final'!#REF!),"")</f>
        <v>#REF!</v>
      </c>
      <c r="AK14" s="54" t="e">
        <f>IF(AND('Mapa final'!#REF!="Muy Alta",'Mapa final'!#REF!="Catastrófico"),CONCATENATE("R9C",'Mapa final'!#REF!),"")</f>
        <v>#REF!</v>
      </c>
      <c r="AL14" s="54" t="e">
        <f>IF(AND('Mapa final'!#REF!="Muy Alta",'Mapa final'!#REF!="Catastrófico"),CONCATENATE("R9C",'Mapa final'!#REF!),"")</f>
        <v>#REF!</v>
      </c>
      <c r="AM14" s="55" t="e">
        <f>IF(AND('Mapa final'!#REF!="Muy Alta",'Mapa final'!#REF!="Catastrófico"),CONCATENATE("R9C",'Mapa final'!#REF!),"")</f>
        <v>#REF!</v>
      </c>
      <c r="AN14" s="81"/>
      <c r="AO14" s="398"/>
      <c r="AP14" s="399"/>
      <c r="AQ14" s="399"/>
      <c r="AR14" s="399"/>
      <c r="AS14" s="399"/>
      <c r="AT14" s="400"/>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337"/>
      <c r="C15" s="337"/>
      <c r="D15" s="338"/>
      <c r="E15" s="381"/>
      <c r="F15" s="382"/>
      <c r="G15" s="382"/>
      <c r="H15" s="382"/>
      <c r="I15" s="383"/>
      <c r="J15" s="56" t="str">
        <f>IF(AND('Mapa final'!$Z$24="Muy Alta",'Mapa final'!$AB$24="Leve"),CONCATENATE("R10C",'Mapa final'!$P$24),"")</f>
        <v/>
      </c>
      <c r="K15" s="57" t="str">
        <f>IF(AND('Mapa final'!$Z$25="Muy Alta",'Mapa final'!$AB$25="Leve"),CONCATENATE("R10C",'Mapa final'!$P$25),"")</f>
        <v/>
      </c>
      <c r="L15" s="57" t="e">
        <f>IF(AND('Mapa final'!#REF!="Muy Alta",'Mapa final'!#REF!="Leve"),CONCATENATE("R10C",'Mapa final'!#REF!),"")</f>
        <v>#REF!</v>
      </c>
      <c r="M15" s="57" t="e">
        <f>IF(AND('Mapa final'!#REF!="Muy Alta",'Mapa final'!#REF!="Leve"),CONCATENATE("R10C",'Mapa final'!#REF!),"")</f>
        <v>#REF!</v>
      </c>
      <c r="N15" s="57" t="e">
        <f>IF(AND('Mapa final'!#REF!="Muy Alta",'Mapa final'!#REF!="Leve"),CONCATENATE("R10C",'Mapa final'!#REF!),"")</f>
        <v>#REF!</v>
      </c>
      <c r="O15" s="58" t="e">
        <f>IF(AND('Mapa final'!#REF!="Muy Alta",'Mapa final'!#REF!="Leve"),CONCATENATE("R10C",'Mapa final'!#REF!),"")</f>
        <v>#REF!</v>
      </c>
      <c r="P15" s="50" t="str">
        <f>IF(AND('Mapa final'!$Z$24="Muy Alta",'Mapa final'!$AB$24="Menor"),CONCATENATE("R10C",'Mapa final'!$P$24),"")</f>
        <v/>
      </c>
      <c r="Q15" s="51" t="str">
        <f>IF(AND('Mapa final'!$Z$25="Muy Alta",'Mapa final'!$AB$25="Menor"),CONCATENATE("R10C",'Mapa final'!$P$25),"")</f>
        <v/>
      </c>
      <c r="R15" s="51" t="e">
        <f>IF(AND('Mapa final'!#REF!="Muy Alta",'Mapa final'!#REF!="Menor"),CONCATENATE("R10C",'Mapa final'!#REF!),"")</f>
        <v>#REF!</v>
      </c>
      <c r="S15" s="51" t="e">
        <f>IF(AND('Mapa final'!#REF!="Muy Alta",'Mapa final'!#REF!="Menor"),CONCATENATE("R10C",'Mapa final'!#REF!),"")</f>
        <v>#REF!</v>
      </c>
      <c r="T15" s="51" t="e">
        <f>IF(AND('Mapa final'!#REF!="Muy Alta",'Mapa final'!#REF!="Menor"),CONCATENATE("R10C",'Mapa final'!#REF!),"")</f>
        <v>#REF!</v>
      </c>
      <c r="U15" s="52" t="e">
        <f>IF(AND('Mapa final'!#REF!="Muy Alta",'Mapa final'!#REF!="Menor"),CONCATENATE("R10C",'Mapa final'!#REF!),"")</f>
        <v>#REF!</v>
      </c>
      <c r="V15" s="56" t="str">
        <f>IF(AND('Mapa final'!$Z$24="Muy Alta",'Mapa final'!$AB$24="Moderado"),CONCATENATE("R10C",'Mapa final'!$P$24),"")</f>
        <v/>
      </c>
      <c r="W15" s="57" t="str">
        <f>IF(AND('Mapa final'!$Z$25="Muy Alta",'Mapa final'!$AB$25="Moderado"),CONCATENATE("R10C",'Mapa final'!$P$25),"")</f>
        <v/>
      </c>
      <c r="X15" s="57" t="e">
        <f>IF(AND('Mapa final'!#REF!="Muy Alta",'Mapa final'!#REF!="Moderado"),CONCATENATE("R10C",'Mapa final'!#REF!),"")</f>
        <v>#REF!</v>
      </c>
      <c r="Y15" s="57" t="e">
        <f>IF(AND('Mapa final'!#REF!="Muy Alta",'Mapa final'!#REF!="Moderado"),CONCATENATE("R10C",'Mapa final'!#REF!),"")</f>
        <v>#REF!</v>
      </c>
      <c r="Z15" s="57" t="e">
        <f>IF(AND('Mapa final'!#REF!="Muy Alta",'Mapa final'!#REF!="Moderado"),CONCATENATE("R10C",'Mapa final'!#REF!),"")</f>
        <v>#REF!</v>
      </c>
      <c r="AA15" s="58" t="e">
        <f>IF(AND('Mapa final'!#REF!="Muy Alta",'Mapa final'!#REF!="Moderado"),CONCATENATE("R10C",'Mapa final'!#REF!),"")</f>
        <v>#REF!</v>
      </c>
      <c r="AB15" s="50" t="str">
        <f>IF(AND('Mapa final'!$Z$24="Muy Alta",'Mapa final'!$AB$24="Mayor"),CONCATENATE("R10C",'Mapa final'!$P$24),"")</f>
        <v/>
      </c>
      <c r="AC15" s="51" t="str">
        <f>IF(AND('Mapa final'!$Z$25="Muy Alta",'Mapa final'!$AB$25="Mayor"),CONCATENATE("R10C",'Mapa final'!$P$25),"")</f>
        <v/>
      </c>
      <c r="AD15" s="51" t="e">
        <f>IF(AND('Mapa final'!#REF!="Muy Alta",'Mapa final'!#REF!="Mayor"),CONCATENATE("R10C",'Mapa final'!#REF!),"")</f>
        <v>#REF!</v>
      </c>
      <c r="AE15" s="51" t="e">
        <f>IF(AND('Mapa final'!#REF!="Muy Alta",'Mapa final'!#REF!="Mayor"),CONCATENATE("R10C",'Mapa final'!#REF!),"")</f>
        <v>#REF!</v>
      </c>
      <c r="AF15" s="51" t="e">
        <f>IF(AND('Mapa final'!#REF!="Muy Alta",'Mapa final'!#REF!="Mayor"),CONCATENATE("R10C",'Mapa final'!#REF!),"")</f>
        <v>#REF!</v>
      </c>
      <c r="AG15" s="52" t="e">
        <f>IF(AND('Mapa final'!#REF!="Muy Alta",'Mapa final'!#REF!="Mayor"),CONCATENATE("R10C",'Mapa final'!#REF!),"")</f>
        <v>#REF!</v>
      </c>
      <c r="AH15" s="59" t="str">
        <f>IF(AND('Mapa final'!$Z$24="Muy Alta",'Mapa final'!$AB$24="Catastrófico"),CONCATENATE("R10C",'Mapa final'!$P$24),"")</f>
        <v/>
      </c>
      <c r="AI15" s="60" t="str">
        <f>IF(AND('Mapa final'!$Z$25="Muy Alta",'Mapa final'!$AB$25="Catastrófico"),CONCATENATE("R10C",'Mapa final'!$P$25),"")</f>
        <v/>
      </c>
      <c r="AJ15" s="60" t="e">
        <f>IF(AND('Mapa final'!#REF!="Muy Alta",'Mapa final'!#REF!="Catastrófico"),CONCATENATE("R10C",'Mapa final'!#REF!),"")</f>
        <v>#REF!</v>
      </c>
      <c r="AK15" s="60" t="e">
        <f>IF(AND('Mapa final'!#REF!="Muy Alta",'Mapa final'!#REF!="Catastrófico"),CONCATENATE("R10C",'Mapa final'!#REF!),"")</f>
        <v>#REF!</v>
      </c>
      <c r="AL15" s="60" t="e">
        <f>IF(AND('Mapa final'!#REF!="Muy Alta",'Mapa final'!#REF!="Catastrófico"),CONCATENATE("R10C",'Mapa final'!#REF!),"")</f>
        <v>#REF!</v>
      </c>
      <c r="AM15" s="61" t="e">
        <f>IF(AND('Mapa final'!#REF!="Muy Alta",'Mapa final'!#REF!="Catastrófico"),CONCATENATE("R10C",'Mapa final'!#REF!),"")</f>
        <v>#REF!</v>
      </c>
      <c r="AN15" s="81"/>
      <c r="AO15" s="401"/>
      <c r="AP15" s="402"/>
      <c r="AQ15" s="402"/>
      <c r="AR15" s="402"/>
      <c r="AS15" s="402"/>
      <c r="AT15" s="403"/>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337"/>
      <c r="C16" s="337"/>
      <c r="D16" s="338"/>
      <c r="E16" s="375" t="s">
        <v>113</v>
      </c>
      <c r="F16" s="376"/>
      <c r="G16" s="376"/>
      <c r="H16" s="376"/>
      <c r="I16" s="376"/>
      <c r="J16" s="62" t="str">
        <f>IF(AND('Mapa final'!$Z$7="Alta",'Mapa final'!$AB$7="Leve"),CONCATENATE("R1C",'Mapa final'!$P$7),"")</f>
        <v/>
      </c>
      <c r="K16" s="63" t="str">
        <f>IF(AND('Mapa final'!$Z$8="Alta",'Mapa final'!$AB$8="Leve"),CONCATENATE("R1C",'Mapa final'!$P$8),"")</f>
        <v/>
      </c>
      <c r="L16" s="63" t="e">
        <f>IF(AND('Mapa final'!#REF!="Alta",'Mapa final'!#REF!="Leve"),CONCATENATE("R1C",'Mapa final'!#REF!),"")</f>
        <v>#REF!</v>
      </c>
      <c r="M16" s="63" t="e">
        <f>IF(AND('Mapa final'!#REF!="Alta",'Mapa final'!#REF!="Leve"),CONCATENATE("R1C",'Mapa final'!#REF!),"")</f>
        <v>#REF!</v>
      </c>
      <c r="N16" s="63" t="e">
        <f>IF(AND('Mapa final'!#REF!="Alta",'Mapa final'!#REF!="Leve"),CONCATENATE("R1C",'Mapa final'!#REF!),"")</f>
        <v>#REF!</v>
      </c>
      <c r="O16" s="64" t="e">
        <f>IF(AND('Mapa final'!#REF!="Alta",'Mapa final'!#REF!="Leve"),CONCATENATE("R1C",'Mapa final'!#REF!),"")</f>
        <v>#REF!</v>
      </c>
      <c r="P16" s="62" t="str">
        <f>IF(AND('Mapa final'!$Z$7="Alta",'Mapa final'!$AB$7="Menor"),CONCATENATE("R1C",'Mapa final'!$P$7),"")</f>
        <v/>
      </c>
      <c r="Q16" s="63" t="str">
        <f>IF(AND('Mapa final'!$Z$8="Alta",'Mapa final'!$AB$8="Menor"),CONCATENATE("R1C",'Mapa final'!$P$8),"")</f>
        <v/>
      </c>
      <c r="R16" s="63" t="e">
        <f>IF(AND('Mapa final'!#REF!="Alta",'Mapa final'!#REF!="Menor"),CONCATENATE("R1C",'Mapa final'!#REF!),"")</f>
        <v>#REF!</v>
      </c>
      <c r="S16" s="63" t="e">
        <f>IF(AND('Mapa final'!#REF!="Alta",'Mapa final'!#REF!="Menor"),CONCATENATE("R1C",'Mapa final'!#REF!),"")</f>
        <v>#REF!</v>
      </c>
      <c r="T16" s="63" t="e">
        <f>IF(AND('Mapa final'!#REF!="Alta",'Mapa final'!#REF!="Menor"),CONCATENATE("R1C",'Mapa final'!#REF!),"")</f>
        <v>#REF!</v>
      </c>
      <c r="U16" s="64" t="e">
        <f>IF(AND('Mapa final'!#REF!="Alta",'Mapa final'!#REF!="Menor"),CONCATENATE("R1C",'Mapa final'!#REF!),"")</f>
        <v>#REF!</v>
      </c>
      <c r="V16" s="44" t="str">
        <f>IF(AND('Mapa final'!$Z$7="Alta",'Mapa final'!$AB$7="Moderado"),CONCATENATE("R1C",'Mapa final'!$P$7),"")</f>
        <v/>
      </c>
      <c r="W16" s="45" t="str">
        <f>IF(AND('Mapa final'!$Z$8="Alta",'Mapa final'!$AB$8="Moderado"),CONCATENATE("R1C",'Mapa final'!$P$8),"")</f>
        <v/>
      </c>
      <c r="X16" s="45" t="e">
        <f>IF(AND('Mapa final'!#REF!="Alta",'Mapa final'!#REF!="Moderado"),CONCATENATE("R1C",'Mapa final'!#REF!),"")</f>
        <v>#REF!</v>
      </c>
      <c r="Y16" s="45" t="e">
        <f>IF(AND('Mapa final'!#REF!="Alta",'Mapa final'!#REF!="Moderado"),CONCATENATE("R1C",'Mapa final'!#REF!),"")</f>
        <v>#REF!</v>
      </c>
      <c r="Z16" s="45" t="e">
        <f>IF(AND('Mapa final'!#REF!="Alta",'Mapa final'!#REF!="Moderado"),CONCATENATE("R1C",'Mapa final'!#REF!),"")</f>
        <v>#REF!</v>
      </c>
      <c r="AA16" s="46" t="e">
        <f>IF(AND('Mapa final'!#REF!="Alta",'Mapa final'!#REF!="Moderado"),CONCATENATE("R1C",'Mapa final'!#REF!),"")</f>
        <v>#REF!</v>
      </c>
      <c r="AB16" s="44" t="str">
        <f>IF(AND('Mapa final'!$Z$7="Alta",'Mapa final'!$AB$7="Mayor"),CONCATENATE("R1C",'Mapa final'!$P$7),"")</f>
        <v/>
      </c>
      <c r="AC16" s="45" t="str">
        <f>IF(AND('Mapa final'!$Z$8="Alta",'Mapa final'!$AB$8="Mayor"),CONCATENATE("R1C",'Mapa final'!$P$8),"")</f>
        <v/>
      </c>
      <c r="AD16" s="45" t="e">
        <f>IF(AND('Mapa final'!#REF!="Alta",'Mapa final'!#REF!="Mayor"),CONCATENATE("R1C",'Mapa final'!#REF!),"")</f>
        <v>#REF!</v>
      </c>
      <c r="AE16" s="45" t="e">
        <f>IF(AND('Mapa final'!#REF!="Alta",'Mapa final'!#REF!="Mayor"),CONCATENATE("R1C",'Mapa final'!#REF!),"")</f>
        <v>#REF!</v>
      </c>
      <c r="AF16" s="45" t="e">
        <f>IF(AND('Mapa final'!#REF!="Alta",'Mapa final'!#REF!="Mayor"),CONCATENATE("R1C",'Mapa final'!#REF!),"")</f>
        <v>#REF!</v>
      </c>
      <c r="AG16" s="46" t="e">
        <f>IF(AND('Mapa final'!#REF!="Alta",'Mapa final'!#REF!="Mayor"),CONCATENATE("R1C",'Mapa final'!#REF!),"")</f>
        <v>#REF!</v>
      </c>
      <c r="AH16" s="47" t="str">
        <f>IF(AND('Mapa final'!$Z$7="Alta",'Mapa final'!$AB$7="Catastrófico"),CONCATENATE("R1C",'Mapa final'!$P$7),"")</f>
        <v/>
      </c>
      <c r="AI16" s="48" t="str">
        <f>IF(AND('Mapa final'!$Z$8="Alta",'Mapa final'!$AB$8="Catastrófico"),CONCATENATE("R1C",'Mapa final'!$P$8),"")</f>
        <v/>
      </c>
      <c r="AJ16" s="48" t="e">
        <f>IF(AND('Mapa final'!#REF!="Alta",'Mapa final'!#REF!="Catastrófico"),CONCATENATE("R1C",'Mapa final'!#REF!),"")</f>
        <v>#REF!</v>
      </c>
      <c r="AK16" s="48" t="e">
        <f>IF(AND('Mapa final'!#REF!="Alta",'Mapa final'!#REF!="Catastrófico"),CONCATENATE("R1C",'Mapa final'!#REF!),"")</f>
        <v>#REF!</v>
      </c>
      <c r="AL16" s="48" t="e">
        <f>IF(AND('Mapa final'!#REF!="Alta",'Mapa final'!#REF!="Catastrófico"),CONCATENATE("R1C",'Mapa final'!#REF!),"")</f>
        <v>#REF!</v>
      </c>
      <c r="AM16" s="49" t="e">
        <f>IF(AND('Mapa final'!#REF!="Alta",'Mapa final'!#REF!="Catastrófico"),CONCATENATE("R1C",'Mapa final'!#REF!),"")</f>
        <v>#REF!</v>
      </c>
      <c r="AN16" s="81"/>
      <c r="AO16" s="385" t="s">
        <v>78</v>
      </c>
      <c r="AP16" s="386"/>
      <c r="AQ16" s="386"/>
      <c r="AR16" s="386"/>
      <c r="AS16" s="386"/>
      <c r="AT16" s="387"/>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337"/>
      <c r="C17" s="337"/>
      <c r="D17" s="338"/>
      <c r="E17" s="394"/>
      <c r="F17" s="379"/>
      <c r="G17" s="379"/>
      <c r="H17" s="379"/>
      <c r="I17" s="379"/>
      <c r="J17" s="65" t="str">
        <f>IF(AND('Mapa final'!$Z$9="Alta",'Mapa final'!$AB$9="Leve"),CONCATENATE("R2C",'Mapa final'!$P$9),"")</f>
        <v/>
      </c>
      <c r="K17" s="66" t="str">
        <f>IF(AND('Mapa final'!$Z$10="Alta",'Mapa final'!$AB$10="Leve"),CONCATENATE("R2C",'Mapa final'!$P$10),"")</f>
        <v/>
      </c>
      <c r="L17" s="66" t="e">
        <f>IF(AND('Mapa final'!#REF!="Alta",'Mapa final'!#REF!="Leve"),CONCATENATE("R2C",'Mapa final'!#REF!),"")</f>
        <v>#REF!</v>
      </c>
      <c r="M17" s="66" t="e">
        <f>IF(AND('Mapa final'!#REF!="Alta",'Mapa final'!#REF!="Leve"),CONCATENATE("R2C",'Mapa final'!#REF!),"")</f>
        <v>#REF!</v>
      </c>
      <c r="N17" s="66" t="e">
        <f>IF(AND('Mapa final'!#REF!="Alta",'Mapa final'!#REF!="Leve"),CONCATENATE("R2C",'Mapa final'!#REF!),"")</f>
        <v>#REF!</v>
      </c>
      <c r="O17" s="67" t="e">
        <f>IF(AND('Mapa final'!#REF!="Alta",'Mapa final'!#REF!="Leve"),CONCATENATE("R2C",'Mapa final'!#REF!),"")</f>
        <v>#REF!</v>
      </c>
      <c r="P17" s="65" t="str">
        <f>IF(AND('Mapa final'!$Z$9="Alta",'Mapa final'!$AB$9="Menor"),CONCATENATE("R2C",'Mapa final'!$P$9),"")</f>
        <v/>
      </c>
      <c r="Q17" s="66" t="str">
        <f>IF(AND('Mapa final'!$Z$10="Alta",'Mapa final'!$AB$10="Menor"),CONCATENATE("R2C",'Mapa final'!$P$10),"")</f>
        <v/>
      </c>
      <c r="R17" s="66" t="e">
        <f>IF(AND('Mapa final'!#REF!="Alta",'Mapa final'!#REF!="Menor"),CONCATENATE("R2C",'Mapa final'!#REF!),"")</f>
        <v>#REF!</v>
      </c>
      <c r="S17" s="66" t="e">
        <f>IF(AND('Mapa final'!#REF!="Alta",'Mapa final'!#REF!="Menor"),CONCATENATE("R2C",'Mapa final'!#REF!),"")</f>
        <v>#REF!</v>
      </c>
      <c r="T17" s="66" t="e">
        <f>IF(AND('Mapa final'!#REF!="Alta",'Mapa final'!#REF!="Menor"),CONCATENATE("R2C",'Mapa final'!#REF!),"")</f>
        <v>#REF!</v>
      </c>
      <c r="U17" s="67" t="e">
        <f>IF(AND('Mapa final'!#REF!="Alta",'Mapa final'!#REF!="Menor"),CONCATENATE("R2C",'Mapa final'!#REF!),"")</f>
        <v>#REF!</v>
      </c>
      <c r="V17" s="50" t="str">
        <f>IF(AND('Mapa final'!$Z$9="Alta",'Mapa final'!$AB$9="Moderado"),CONCATENATE("R2C",'Mapa final'!$P$9),"")</f>
        <v/>
      </c>
      <c r="W17" s="51" t="str">
        <f>IF(AND('Mapa final'!$Z$10="Alta",'Mapa final'!$AB$10="Moderado"),CONCATENATE("R2C",'Mapa final'!$P$10),"")</f>
        <v/>
      </c>
      <c r="X17" s="51" t="e">
        <f>IF(AND('Mapa final'!#REF!="Alta",'Mapa final'!#REF!="Moderado"),CONCATENATE("R2C",'Mapa final'!#REF!),"")</f>
        <v>#REF!</v>
      </c>
      <c r="Y17" s="51" t="e">
        <f>IF(AND('Mapa final'!#REF!="Alta",'Mapa final'!#REF!="Moderado"),CONCATENATE("R2C",'Mapa final'!#REF!),"")</f>
        <v>#REF!</v>
      </c>
      <c r="Z17" s="51" t="e">
        <f>IF(AND('Mapa final'!#REF!="Alta",'Mapa final'!#REF!="Moderado"),CONCATENATE("R2C",'Mapa final'!#REF!),"")</f>
        <v>#REF!</v>
      </c>
      <c r="AA17" s="52" t="e">
        <f>IF(AND('Mapa final'!#REF!="Alta",'Mapa final'!#REF!="Moderado"),CONCATENATE("R2C",'Mapa final'!#REF!),"")</f>
        <v>#REF!</v>
      </c>
      <c r="AB17" s="50" t="str">
        <f>IF(AND('Mapa final'!$Z$9="Alta",'Mapa final'!$AB$9="Mayor"),CONCATENATE("R2C",'Mapa final'!$P$9),"")</f>
        <v/>
      </c>
      <c r="AC17" s="51" t="str">
        <f>IF(AND('Mapa final'!$Z$10="Alta",'Mapa final'!$AB$10="Mayor"),CONCATENATE("R2C",'Mapa final'!$P$10),"")</f>
        <v/>
      </c>
      <c r="AD17" s="51" t="e">
        <f>IF(AND('Mapa final'!#REF!="Alta",'Mapa final'!#REF!="Mayor"),CONCATENATE("R2C",'Mapa final'!#REF!),"")</f>
        <v>#REF!</v>
      </c>
      <c r="AE17" s="51" t="e">
        <f>IF(AND('Mapa final'!#REF!="Alta",'Mapa final'!#REF!="Mayor"),CONCATENATE("R2C",'Mapa final'!#REF!),"")</f>
        <v>#REF!</v>
      </c>
      <c r="AF17" s="51" t="e">
        <f>IF(AND('Mapa final'!#REF!="Alta",'Mapa final'!#REF!="Mayor"),CONCATENATE("R2C",'Mapa final'!#REF!),"")</f>
        <v>#REF!</v>
      </c>
      <c r="AG17" s="52" t="e">
        <f>IF(AND('Mapa final'!#REF!="Alta",'Mapa final'!#REF!="Mayor"),CONCATENATE("R2C",'Mapa final'!#REF!),"")</f>
        <v>#REF!</v>
      </c>
      <c r="AH17" s="53" t="str">
        <f>IF(AND('Mapa final'!$Z$9="Alta",'Mapa final'!$AB$9="Catastrófico"),CONCATENATE("R2C",'Mapa final'!$P$9),"")</f>
        <v/>
      </c>
      <c r="AI17" s="54" t="str">
        <f>IF(AND('Mapa final'!$Z$10="Alta",'Mapa final'!$AB$10="Catastrófico"),CONCATENATE("R2C",'Mapa final'!$P$10),"")</f>
        <v/>
      </c>
      <c r="AJ17" s="54" t="e">
        <f>IF(AND('Mapa final'!#REF!="Alta",'Mapa final'!#REF!="Catastrófico"),CONCATENATE("R2C",'Mapa final'!#REF!),"")</f>
        <v>#REF!</v>
      </c>
      <c r="AK17" s="54" t="e">
        <f>IF(AND('Mapa final'!#REF!="Alta",'Mapa final'!#REF!="Catastrófico"),CONCATENATE("R2C",'Mapa final'!#REF!),"")</f>
        <v>#REF!</v>
      </c>
      <c r="AL17" s="54" t="e">
        <f>IF(AND('Mapa final'!#REF!="Alta",'Mapa final'!#REF!="Catastrófico"),CONCATENATE("R2C",'Mapa final'!#REF!),"")</f>
        <v>#REF!</v>
      </c>
      <c r="AM17" s="55" t="e">
        <f>IF(AND('Mapa final'!#REF!="Alta",'Mapa final'!#REF!="Catastrófico"),CONCATENATE("R2C",'Mapa final'!#REF!),"")</f>
        <v>#REF!</v>
      </c>
      <c r="AN17" s="81"/>
      <c r="AO17" s="388"/>
      <c r="AP17" s="389"/>
      <c r="AQ17" s="389"/>
      <c r="AR17" s="389"/>
      <c r="AS17" s="389"/>
      <c r="AT17" s="390"/>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337"/>
      <c r="C18" s="337"/>
      <c r="D18" s="338"/>
      <c r="E18" s="378"/>
      <c r="F18" s="379"/>
      <c r="G18" s="379"/>
      <c r="H18" s="379"/>
      <c r="I18" s="379"/>
      <c r="J18" s="65" t="str">
        <f>IF(AND('Mapa final'!$Z$11="Alta",'Mapa final'!$AB$11="Leve"),CONCATENATE("R3C",'Mapa final'!$P$11),"")</f>
        <v/>
      </c>
      <c r="K18" s="66" t="e">
        <f>IF(AND('Mapa final'!#REF!="Alta",'Mapa final'!#REF!="Leve"),CONCATENATE("R3C",'Mapa final'!#REF!),"")</f>
        <v>#REF!</v>
      </c>
      <c r="L18" s="66" t="e">
        <f>IF(AND('Mapa final'!#REF!="Alta",'Mapa final'!#REF!="Leve"),CONCATENATE("R3C",'Mapa final'!#REF!),"")</f>
        <v>#REF!</v>
      </c>
      <c r="M18" s="66" t="e">
        <f>IF(AND('Mapa final'!#REF!="Alta",'Mapa final'!#REF!="Leve"),CONCATENATE("R3C",'Mapa final'!#REF!),"")</f>
        <v>#REF!</v>
      </c>
      <c r="N18" s="66" t="e">
        <f>IF(AND('Mapa final'!#REF!="Alta",'Mapa final'!#REF!="Leve"),CONCATENATE("R3C",'Mapa final'!#REF!),"")</f>
        <v>#REF!</v>
      </c>
      <c r="O18" s="67" t="e">
        <f>IF(AND('Mapa final'!#REF!="Alta",'Mapa final'!#REF!="Leve"),CONCATENATE("R3C",'Mapa final'!#REF!),"")</f>
        <v>#REF!</v>
      </c>
      <c r="P18" s="65" t="str">
        <f>IF(AND('Mapa final'!$Z$11="Alta",'Mapa final'!$AB$11="Menor"),CONCATENATE("R3C",'Mapa final'!$P$11),"")</f>
        <v/>
      </c>
      <c r="Q18" s="66" t="e">
        <f>IF(AND('Mapa final'!#REF!="Alta",'Mapa final'!#REF!="Menor"),CONCATENATE("R3C",'Mapa final'!#REF!),"")</f>
        <v>#REF!</v>
      </c>
      <c r="R18" s="66" t="e">
        <f>IF(AND('Mapa final'!#REF!="Alta",'Mapa final'!#REF!="Menor"),CONCATENATE("R3C",'Mapa final'!#REF!),"")</f>
        <v>#REF!</v>
      </c>
      <c r="S18" s="66" t="e">
        <f>IF(AND('Mapa final'!#REF!="Alta",'Mapa final'!#REF!="Menor"),CONCATENATE("R3C",'Mapa final'!#REF!),"")</f>
        <v>#REF!</v>
      </c>
      <c r="T18" s="66" t="e">
        <f>IF(AND('Mapa final'!#REF!="Alta",'Mapa final'!#REF!="Menor"),CONCATENATE("R3C",'Mapa final'!#REF!),"")</f>
        <v>#REF!</v>
      </c>
      <c r="U18" s="67" t="e">
        <f>IF(AND('Mapa final'!#REF!="Alta",'Mapa final'!#REF!="Menor"),CONCATENATE("R3C",'Mapa final'!#REF!),"")</f>
        <v>#REF!</v>
      </c>
      <c r="V18" s="50" t="str">
        <f>IF(AND('Mapa final'!$Z$11="Alta",'Mapa final'!$AB$11="Moderado"),CONCATENATE("R3C",'Mapa final'!$P$11),"")</f>
        <v/>
      </c>
      <c r="W18" s="51" t="e">
        <f>IF(AND('Mapa final'!#REF!="Alta",'Mapa final'!#REF!="Moderado"),CONCATENATE("R3C",'Mapa final'!#REF!),"")</f>
        <v>#REF!</v>
      </c>
      <c r="X18" s="51" t="e">
        <f>IF(AND('Mapa final'!#REF!="Alta",'Mapa final'!#REF!="Moderado"),CONCATENATE("R3C",'Mapa final'!#REF!),"")</f>
        <v>#REF!</v>
      </c>
      <c r="Y18" s="51" t="e">
        <f>IF(AND('Mapa final'!#REF!="Alta",'Mapa final'!#REF!="Moderado"),CONCATENATE("R3C",'Mapa final'!#REF!),"")</f>
        <v>#REF!</v>
      </c>
      <c r="Z18" s="51" t="e">
        <f>IF(AND('Mapa final'!#REF!="Alta",'Mapa final'!#REF!="Moderado"),CONCATENATE("R3C",'Mapa final'!#REF!),"")</f>
        <v>#REF!</v>
      </c>
      <c r="AA18" s="52" t="e">
        <f>IF(AND('Mapa final'!#REF!="Alta",'Mapa final'!#REF!="Moderado"),CONCATENATE("R3C",'Mapa final'!#REF!),"")</f>
        <v>#REF!</v>
      </c>
      <c r="AB18" s="50" t="str">
        <f>IF(AND('Mapa final'!$Z$11="Alta",'Mapa final'!$AB$11="Mayor"),CONCATENATE("R3C",'Mapa final'!$P$11),"")</f>
        <v/>
      </c>
      <c r="AC18" s="51" t="e">
        <f>IF(AND('Mapa final'!#REF!="Alta",'Mapa final'!#REF!="Mayor"),CONCATENATE("R3C",'Mapa final'!#REF!),"")</f>
        <v>#REF!</v>
      </c>
      <c r="AD18" s="51" t="e">
        <f>IF(AND('Mapa final'!#REF!="Alta",'Mapa final'!#REF!="Mayor"),CONCATENATE("R3C",'Mapa final'!#REF!),"")</f>
        <v>#REF!</v>
      </c>
      <c r="AE18" s="51" t="e">
        <f>IF(AND('Mapa final'!#REF!="Alta",'Mapa final'!#REF!="Mayor"),CONCATENATE("R3C",'Mapa final'!#REF!),"")</f>
        <v>#REF!</v>
      </c>
      <c r="AF18" s="51" t="e">
        <f>IF(AND('Mapa final'!#REF!="Alta",'Mapa final'!#REF!="Mayor"),CONCATENATE("R3C",'Mapa final'!#REF!),"")</f>
        <v>#REF!</v>
      </c>
      <c r="AG18" s="52" t="e">
        <f>IF(AND('Mapa final'!#REF!="Alta",'Mapa final'!#REF!="Mayor"),CONCATENATE("R3C",'Mapa final'!#REF!),"")</f>
        <v>#REF!</v>
      </c>
      <c r="AH18" s="53" t="str">
        <f>IF(AND('Mapa final'!$Z$11="Alta",'Mapa final'!$AB$11="Catastrófico"),CONCATENATE("R3C",'Mapa final'!$P$11),"")</f>
        <v/>
      </c>
      <c r="AI18" s="54" t="e">
        <f>IF(AND('Mapa final'!#REF!="Alta",'Mapa final'!#REF!="Catastrófico"),CONCATENATE("R3C",'Mapa final'!#REF!),"")</f>
        <v>#REF!</v>
      </c>
      <c r="AJ18" s="54" t="e">
        <f>IF(AND('Mapa final'!#REF!="Alta",'Mapa final'!#REF!="Catastrófico"),CONCATENATE("R3C",'Mapa final'!#REF!),"")</f>
        <v>#REF!</v>
      </c>
      <c r="AK18" s="54" t="e">
        <f>IF(AND('Mapa final'!#REF!="Alta",'Mapa final'!#REF!="Catastrófico"),CONCATENATE("R3C",'Mapa final'!#REF!),"")</f>
        <v>#REF!</v>
      </c>
      <c r="AL18" s="54" t="e">
        <f>IF(AND('Mapa final'!#REF!="Alta",'Mapa final'!#REF!="Catastrófico"),CONCATENATE("R3C",'Mapa final'!#REF!),"")</f>
        <v>#REF!</v>
      </c>
      <c r="AM18" s="55" t="e">
        <f>IF(AND('Mapa final'!#REF!="Alta",'Mapa final'!#REF!="Catastrófico"),CONCATENATE("R3C",'Mapa final'!#REF!),"")</f>
        <v>#REF!</v>
      </c>
      <c r="AN18" s="81"/>
      <c r="AO18" s="388"/>
      <c r="AP18" s="389"/>
      <c r="AQ18" s="389"/>
      <c r="AR18" s="389"/>
      <c r="AS18" s="389"/>
      <c r="AT18" s="390"/>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337"/>
      <c r="C19" s="337"/>
      <c r="D19" s="338"/>
      <c r="E19" s="378"/>
      <c r="F19" s="379"/>
      <c r="G19" s="379"/>
      <c r="H19" s="379"/>
      <c r="I19" s="379"/>
      <c r="J19" s="65" t="str">
        <f>IF(AND('Mapa final'!$Z$12="Alta",'Mapa final'!$AB$12="Leve"),CONCATENATE("R4C",'Mapa final'!$P$12),"")</f>
        <v/>
      </c>
      <c r="K19" s="66" t="e">
        <f>IF(AND('Mapa final'!#REF!="Alta",'Mapa final'!#REF!="Leve"),CONCATENATE("R4C",'Mapa final'!#REF!),"")</f>
        <v>#REF!</v>
      </c>
      <c r="L19" s="66" t="e">
        <f>IF(AND('Mapa final'!#REF!="Alta",'Mapa final'!#REF!="Leve"),CONCATENATE("R4C",'Mapa final'!#REF!),"")</f>
        <v>#REF!</v>
      </c>
      <c r="M19" s="66" t="e">
        <f>IF(AND('Mapa final'!#REF!="Alta",'Mapa final'!#REF!="Leve"),CONCATENATE("R4C",'Mapa final'!#REF!),"")</f>
        <v>#REF!</v>
      </c>
      <c r="N19" s="66" t="e">
        <f>IF(AND('Mapa final'!#REF!="Alta",'Mapa final'!#REF!="Leve"),CONCATENATE("R4C",'Mapa final'!#REF!),"")</f>
        <v>#REF!</v>
      </c>
      <c r="O19" s="67" t="e">
        <f>IF(AND('Mapa final'!#REF!="Alta",'Mapa final'!#REF!="Leve"),CONCATENATE("R4C",'Mapa final'!#REF!),"")</f>
        <v>#REF!</v>
      </c>
      <c r="P19" s="65" t="str">
        <f>IF(AND('Mapa final'!$Z$12="Alta",'Mapa final'!$AB$12="Menor"),CONCATENATE("R4C",'Mapa final'!$P$12),"")</f>
        <v/>
      </c>
      <c r="Q19" s="66" t="e">
        <f>IF(AND('Mapa final'!#REF!="Alta",'Mapa final'!#REF!="Menor"),CONCATENATE("R4C",'Mapa final'!#REF!),"")</f>
        <v>#REF!</v>
      </c>
      <c r="R19" s="66" t="e">
        <f>IF(AND('Mapa final'!#REF!="Alta",'Mapa final'!#REF!="Menor"),CONCATENATE("R4C",'Mapa final'!#REF!),"")</f>
        <v>#REF!</v>
      </c>
      <c r="S19" s="66" t="e">
        <f>IF(AND('Mapa final'!#REF!="Alta",'Mapa final'!#REF!="Menor"),CONCATENATE("R4C",'Mapa final'!#REF!),"")</f>
        <v>#REF!</v>
      </c>
      <c r="T19" s="66" t="e">
        <f>IF(AND('Mapa final'!#REF!="Alta",'Mapa final'!#REF!="Menor"),CONCATENATE("R4C",'Mapa final'!#REF!),"")</f>
        <v>#REF!</v>
      </c>
      <c r="U19" s="67" t="e">
        <f>IF(AND('Mapa final'!#REF!="Alta",'Mapa final'!#REF!="Menor"),CONCATENATE("R4C",'Mapa final'!#REF!),"")</f>
        <v>#REF!</v>
      </c>
      <c r="V19" s="50" t="str">
        <f>IF(AND('Mapa final'!$Z$12="Alta",'Mapa final'!$AB$12="Moderado"),CONCATENATE("R4C",'Mapa final'!$P$12),"")</f>
        <v/>
      </c>
      <c r="W19" s="51" t="e">
        <f>IF(AND('Mapa final'!#REF!="Alta",'Mapa final'!#REF!="Moderado"),CONCATENATE("R4C",'Mapa final'!#REF!),"")</f>
        <v>#REF!</v>
      </c>
      <c r="X19" s="51" t="e">
        <f>IF(AND('Mapa final'!#REF!="Alta",'Mapa final'!#REF!="Moderado"),CONCATENATE("R4C",'Mapa final'!#REF!),"")</f>
        <v>#REF!</v>
      </c>
      <c r="Y19" s="51" t="e">
        <f>IF(AND('Mapa final'!#REF!="Alta",'Mapa final'!#REF!="Moderado"),CONCATENATE("R4C",'Mapa final'!#REF!),"")</f>
        <v>#REF!</v>
      </c>
      <c r="Z19" s="51" t="e">
        <f>IF(AND('Mapa final'!#REF!="Alta",'Mapa final'!#REF!="Moderado"),CONCATENATE("R4C",'Mapa final'!#REF!),"")</f>
        <v>#REF!</v>
      </c>
      <c r="AA19" s="52" t="e">
        <f>IF(AND('Mapa final'!#REF!="Alta",'Mapa final'!#REF!="Moderado"),CONCATENATE("R4C",'Mapa final'!#REF!),"")</f>
        <v>#REF!</v>
      </c>
      <c r="AB19" s="50" t="str">
        <f>IF(AND('Mapa final'!$Z$12="Alta",'Mapa final'!$AB$12="Mayor"),CONCATENATE("R4C",'Mapa final'!$P$12),"")</f>
        <v/>
      </c>
      <c r="AC19" s="51" t="e">
        <f>IF(AND('Mapa final'!#REF!="Alta",'Mapa final'!#REF!="Mayor"),CONCATENATE("R4C",'Mapa final'!#REF!),"")</f>
        <v>#REF!</v>
      </c>
      <c r="AD19" s="51" t="e">
        <f>IF(AND('Mapa final'!#REF!="Alta",'Mapa final'!#REF!="Mayor"),CONCATENATE("R4C",'Mapa final'!#REF!),"")</f>
        <v>#REF!</v>
      </c>
      <c r="AE19" s="51" t="e">
        <f>IF(AND('Mapa final'!#REF!="Alta",'Mapa final'!#REF!="Mayor"),CONCATENATE("R4C",'Mapa final'!#REF!),"")</f>
        <v>#REF!</v>
      </c>
      <c r="AF19" s="51" t="e">
        <f>IF(AND('Mapa final'!#REF!="Alta",'Mapa final'!#REF!="Mayor"),CONCATENATE("R4C",'Mapa final'!#REF!),"")</f>
        <v>#REF!</v>
      </c>
      <c r="AG19" s="52" t="e">
        <f>IF(AND('Mapa final'!#REF!="Alta",'Mapa final'!#REF!="Mayor"),CONCATENATE("R4C",'Mapa final'!#REF!),"")</f>
        <v>#REF!</v>
      </c>
      <c r="AH19" s="53" t="str">
        <f>IF(AND('Mapa final'!$Z$12="Alta",'Mapa final'!$AB$12="Catastrófico"),CONCATENATE("R4C",'Mapa final'!$P$12),"")</f>
        <v/>
      </c>
      <c r="AI19" s="54" t="e">
        <f>IF(AND('Mapa final'!#REF!="Alta",'Mapa final'!#REF!="Catastrófico"),CONCATENATE("R4C",'Mapa final'!#REF!),"")</f>
        <v>#REF!</v>
      </c>
      <c r="AJ19" s="54" t="e">
        <f>IF(AND('Mapa final'!#REF!="Alta",'Mapa final'!#REF!="Catastrófico"),CONCATENATE("R4C",'Mapa final'!#REF!),"")</f>
        <v>#REF!</v>
      </c>
      <c r="AK19" s="54" t="e">
        <f>IF(AND('Mapa final'!#REF!="Alta",'Mapa final'!#REF!="Catastrófico"),CONCATENATE("R4C",'Mapa final'!#REF!),"")</f>
        <v>#REF!</v>
      </c>
      <c r="AL19" s="54" t="e">
        <f>IF(AND('Mapa final'!#REF!="Alta",'Mapa final'!#REF!="Catastrófico"),CONCATENATE("R4C",'Mapa final'!#REF!),"")</f>
        <v>#REF!</v>
      </c>
      <c r="AM19" s="55" t="e">
        <f>IF(AND('Mapa final'!#REF!="Alta",'Mapa final'!#REF!="Catastrófico"),CONCATENATE("R4C",'Mapa final'!#REF!),"")</f>
        <v>#REF!</v>
      </c>
      <c r="AN19" s="81"/>
      <c r="AO19" s="388"/>
      <c r="AP19" s="389"/>
      <c r="AQ19" s="389"/>
      <c r="AR19" s="389"/>
      <c r="AS19" s="389"/>
      <c r="AT19" s="390"/>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337"/>
      <c r="C20" s="337"/>
      <c r="D20" s="338"/>
      <c r="E20" s="378"/>
      <c r="F20" s="379"/>
      <c r="G20" s="379"/>
      <c r="H20" s="379"/>
      <c r="I20" s="379"/>
      <c r="J20" s="65" t="str">
        <f>IF(AND('Mapa final'!$Z$13="Alta",'Mapa final'!$AB$13="Leve"),CONCATENATE("R5C",'Mapa final'!$P$13),"")</f>
        <v/>
      </c>
      <c r="K20" s="66" t="str">
        <f>IF(AND('Mapa final'!$Z$14="Alta",'Mapa final'!$AB$14="Leve"),CONCATENATE("R5C",'Mapa final'!$P$14),"")</f>
        <v/>
      </c>
      <c r="L20" s="66" t="e">
        <f>IF(AND('Mapa final'!#REF!="Alta",'Mapa final'!#REF!="Leve"),CONCATENATE("R5C",'Mapa final'!#REF!),"")</f>
        <v>#REF!</v>
      </c>
      <c r="M20" s="66" t="e">
        <f>IF(AND('Mapa final'!#REF!="Alta",'Mapa final'!#REF!="Leve"),CONCATENATE("R5C",'Mapa final'!#REF!),"")</f>
        <v>#REF!</v>
      </c>
      <c r="N20" s="66" t="e">
        <f>IF(AND('Mapa final'!#REF!="Alta",'Mapa final'!#REF!="Leve"),CONCATENATE("R5C",'Mapa final'!#REF!),"")</f>
        <v>#REF!</v>
      </c>
      <c r="O20" s="67" t="e">
        <f>IF(AND('Mapa final'!#REF!="Alta",'Mapa final'!#REF!="Leve"),CONCATENATE("R5C",'Mapa final'!#REF!),"")</f>
        <v>#REF!</v>
      </c>
      <c r="P20" s="65" t="str">
        <f>IF(AND('Mapa final'!$Z$13="Alta",'Mapa final'!$AB$13="Menor"),CONCATENATE("R5C",'Mapa final'!$P$13),"")</f>
        <v/>
      </c>
      <c r="Q20" s="66" t="str">
        <f>IF(AND('Mapa final'!$Z$14="Alta",'Mapa final'!$AB$14="Menor"),CONCATENATE("R5C",'Mapa final'!$P$14),"")</f>
        <v/>
      </c>
      <c r="R20" s="66" t="e">
        <f>IF(AND('Mapa final'!#REF!="Alta",'Mapa final'!#REF!="Menor"),CONCATENATE("R5C",'Mapa final'!#REF!),"")</f>
        <v>#REF!</v>
      </c>
      <c r="S20" s="66" t="e">
        <f>IF(AND('Mapa final'!#REF!="Alta",'Mapa final'!#REF!="Menor"),CONCATENATE("R5C",'Mapa final'!#REF!),"")</f>
        <v>#REF!</v>
      </c>
      <c r="T20" s="66" t="e">
        <f>IF(AND('Mapa final'!#REF!="Alta",'Mapa final'!#REF!="Menor"),CONCATENATE("R5C",'Mapa final'!#REF!),"")</f>
        <v>#REF!</v>
      </c>
      <c r="U20" s="67" t="e">
        <f>IF(AND('Mapa final'!#REF!="Alta",'Mapa final'!#REF!="Menor"),CONCATENATE("R5C",'Mapa final'!#REF!),"")</f>
        <v>#REF!</v>
      </c>
      <c r="V20" s="50" t="str">
        <f>IF(AND('Mapa final'!$Z$13="Alta",'Mapa final'!$AB$13="Moderado"),CONCATENATE("R5C",'Mapa final'!$P$13),"")</f>
        <v/>
      </c>
      <c r="W20" s="51" t="str">
        <f>IF(AND('Mapa final'!$Z$14="Alta",'Mapa final'!$AB$14="Moderado"),CONCATENATE("R5C",'Mapa final'!$P$14),"")</f>
        <v/>
      </c>
      <c r="X20" s="51" t="e">
        <f>IF(AND('Mapa final'!#REF!="Alta",'Mapa final'!#REF!="Moderado"),CONCATENATE("R5C",'Mapa final'!#REF!),"")</f>
        <v>#REF!</v>
      </c>
      <c r="Y20" s="51" t="e">
        <f>IF(AND('Mapa final'!#REF!="Alta",'Mapa final'!#REF!="Moderado"),CONCATENATE("R5C",'Mapa final'!#REF!),"")</f>
        <v>#REF!</v>
      </c>
      <c r="Z20" s="51" t="e">
        <f>IF(AND('Mapa final'!#REF!="Alta",'Mapa final'!#REF!="Moderado"),CONCATENATE("R5C",'Mapa final'!#REF!),"")</f>
        <v>#REF!</v>
      </c>
      <c r="AA20" s="52" t="e">
        <f>IF(AND('Mapa final'!#REF!="Alta",'Mapa final'!#REF!="Moderado"),CONCATENATE("R5C",'Mapa final'!#REF!),"")</f>
        <v>#REF!</v>
      </c>
      <c r="AB20" s="50" t="str">
        <f>IF(AND('Mapa final'!$Z$13="Alta",'Mapa final'!$AB$13="Mayor"),CONCATENATE("R5C",'Mapa final'!$P$13),"")</f>
        <v/>
      </c>
      <c r="AC20" s="51" t="str">
        <f>IF(AND('Mapa final'!$Z$14="Alta",'Mapa final'!$AB$14="Mayor"),CONCATENATE("R5C",'Mapa final'!$P$14),"")</f>
        <v/>
      </c>
      <c r="AD20" s="51" t="e">
        <f>IF(AND('Mapa final'!#REF!="Alta",'Mapa final'!#REF!="Mayor"),CONCATENATE("R5C",'Mapa final'!#REF!),"")</f>
        <v>#REF!</v>
      </c>
      <c r="AE20" s="51" t="e">
        <f>IF(AND('Mapa final'!#REF!="Alta",'Mapa final'!#REF!="Mayor"),CONCATENATE("R5C",'Mapa final'!#REF!),"")</f>
        <v>#REF!</v>
      </c>
      <c r="AF20" s="51" t="e">
        <f>IF(AND('Mapa final'!#REF!="Alta",'Mapa final'!#REF!="Mayor"),CONCATENATE("R5C",'Mapa final'!#REF!),"")</f>
        <v>#REF!</v>
      </c>
      <c r="AG20" s="52" t="e">
        <f>IF(AND('Mapa final'!#REF!="Alta",'Mapa final'!#REF!="Mayor"),CONCATENATE("R5C",'Mapa final'!#REF!),"")</f>
        <v>#REF!</v>
      </c>
      <c r="AH20" s="53" t="str">
        <f>IF(AND('Mapa final'!$Z$13="Alta",'Mapa final'!$AB$13="Catastrófico"),CONCATENATE("R5C",'Mapa final'!$P$13),"")</f>
        <v/>
      </c>
      <c r="AI20" s="54" t="str">
        <f>IF(AND('Mapa final'!$Z$14="Alta",'Mapa final'!$AB$14="Catastrófico"),CONCATENATE("R5C",'Mapa final'!$P$14),"")</f>
        <v/>
      </c>
      <c r="AJ20" s="54" t="e">
        <f>IF(AND('Mapa final'!#REF!="Alta",'Mapa final'!#REF!="Catastrófico"),CONCATENATE("R5C",'Mapa final'!#REF!),"")</f>
        <v>#REF!</v>
      </c>
      <c r="AK20" s="54" t="e">
        <f>IF(AND('Mapa final'!#REF!="Alta",'Mapa final'!#REF!="Catastrófico"),CONCATENATE("R5C",'Mapa final'!#REF!),"")</f>
        <v>#REF!</v>
      </c>
      <c r="AL20" s="54" t="e">
        <f>IF(AND('Mapa final'!#REF!="Alta",'Mapa final'!#REF!="Catastrófico"),CONCATENATE("R5C",'Mapa final'!#REF!),"")</f>
        <v>#REF!</v>
      </c>
      <c r="AM20" s="55" t="e">
        <f>IF(AND('Mapa final'!#REF!="Alta",'Mapa final'!#REF!="Catastrófico"),CONCATENATE("R5C",'Mapa final'!#REF!),"")</f>
        <v>#REF!</v>
      </c>
      <c r="AN20" s="81"/>
      <c r="AO20" s="388"/>
      <c r="AP20" s="389"/>
      <c r="AQ20" s="389"/>
      <c r="AR20" s="389"/>
      <c r="AS20" s="389"/>
      <c r="AT20" s="390"/>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337"/>
      <c r="C21" s="337"/>
      <c r="D21" s="338"/>
      <c r="E21" s="378"/>
      <c r="F21" s="379"/>
      <c r="G21" s="379"/>
      <c r="H21" s="379"/>
      <c r="I21" s="379"/>
      <c r="J21" s="65" t="str">
        <f>IF(AND('Mapa final'!$Z$15="Alta",'Mapa final'!$AB$15="Leve"),CONCATENATE("R6C",'Mapa final'!$P$15),"")</f>
        <v/>
      </c>
      <c r="K21" s="66" t="str">
        <f>IF(AND('Mapa final'!$Z$16="Alta",'Mapa final'!$AB$16="Leve"),CONCATENATE("R6C",'Mapa final'!$P$16),"")</f>
        <v/>
      </c>
      <c r="L21" s="66" t="str">
        <f>IF(AND('Mapa final'!$Z$17="Alta",'Mapa final'!$AB$17="Leve"),CONCATENATE("R6C",'Mapa final'!$P$17),"")</f>
        <v/>
      </c>
      <c r="M21" s="66" t="e">
        <f>IF(AND('Mapa final'!#REF!="Alta",'Mapa final'!#REF!="Leve"),CONCATENATE("R6C",'Mapa final'!#REF!),"")</f>
        <v>#REF!</v>
      </c>
      <c r="N21" s="66" t="e">
        <f>IF(AND('Mapa final'!#REF!="Alta",'Mapa final'!#REF!="Leve"),CONCATENATE("R6C",'Mapa final'!#REF!),"")</f>
        <v>#REF!</v>
      </c>
      <c r="O21" s="67" t="e">
        <f>IF(AND('Mapa final'!#REF!="Alta",'Mapa final'!#REF!="Leve"),CONCATENATE("R6C",'Mapa final'!#REF!),"")</f>
        <v>#REF!</v>
      </c>
      <c r="P21" s="65" t="str">
        <f>IF(AND('Mapa final'!$Z$15="Alta",'Mapa final'!$AB$15="Menor"),CONCATENATE("R6C",'Mapa final'!$P$15),"")</f>
        <v/>
      </c>
      <c r="Q21" s="66" t="str">
        <f>IF(AND('Mapa final'!$Z$16="Alta",'Mapa final'!$AB$16="Menor"),CONCATENATE("R6C",'Mapa final'!$P$16),"")</f>
        <v/>
      </c>
      <c r="R21" s="66" t="str">
        <f>IF(AND('Mapa final'!$Z$17="Alta",'Mapa final'!$AB$17="Menor"),CONCATENATE("R6C",'Mapa final'!$P$17),"")</f>
        <v/>
      </c>
      <c r="S21" s="66" t="e">
        <f>IF(AND('Mapa final'!#REF!="Alta",'Mapa final'!#REF!="Menor"),CONCATENATE("R6C",'Mapa final'!#REF!),"")</f>
        <v>#REF!</v>
      </c>
      <c r="T21" s="66" t="e">
        <f>IF(AND('Mapa final'!#REF!="Alta",'Mapa final'!#REF!="Menor"),CONCATENATE("R6C",'Mapa final'!#REF!),"")</f>
        <v>#REF!</v>
      </c>
      <c r="U21" s="67" t="e">
        <f>IF(AND('Mapa final'!#REF!="Alta",'Mapa final'!#REF!="Menor"),CONCATENATE("R6C",'Mapa final'!#REF!),"")</f>
        <v>#REF!</v>
      </c>
      <c r="V21" s="50" t="str">
        <f>IF(AND('Mapa final'!$Z$15="Alta",'Mapa final'!$AB$15="Moderado"),CONCATENATE("R6C",'Mapa final'!$P$15),"")</f>
        <v/>
      </c>
      <c r="W21" s="51" t="str">
        <f>IF(AND('Mapa final'!$Z$16="Alta",'Mapa final'!$AB$16="Moderado"),CONCATENATE("R6C",'Mapa final'!$P$16),"")</f>
        <v/>
      </c>
      <c r="X21" s="51" t="str">
        <f>IF(AND('Mapa final'!$Z$17="Alta",'Mapa final'!$AB$17="Moderado"),CONCATENATE("R6C",'Mapa final'!$P$17),"")</f>
        <v/>
      </c>
      <c r="Y21" s="51" t="e">
        <f>IF(AND('Mapa final'!#REF!="Alta",'Mapa final'!#REF!="Moderado"),CONCATENATE("R6C",'Mapa final'!#REF!),"")</f>
        <v>#REF!</v>
      </c>
      <c r="Z21" s="51" t="e">
        <f>IF(AND('Mapa final'!#REF!="Alta",'Mapa final'!#REF!="Moderado"),CONCATENATE("R6C",'Mapa final'!#REF!),"")</f>
        <v>#REF!</v>
      </c>
      <c r="AA21" s="52" t="e">
        <f>IF(AND('Mapa final'!#REF!="Alta",'Mapa final'!#REF!="Moderado"),CONCATENATE("R6C",'Mapa final'!#REF!),"")</f>
        <v>#REF!</v>
      </c>
      <c r="AB21" s="50" t="str">
        <f>IF(AND('Mapa final'!$Z$15="Alta",'Mapa final'!$AB$15="Mayor"),CONCATENATE("R6C",'Mapa final'!$P$15),"")</f>
        <v/>
      </c>
      <c r="AC21" s="51" t="str">
        <f>IF(AND('Mapa final'!$Z$16="Alta",'Mapa final'!$AB$16="Mayor"),CONCATENATE("R6C",'Mapa final'!$P$16),"")</f>
        <v/>
      </c>
      <c r="AD21" s="51" t="str">
        <f>IF(AND('Mapa final'!$Z$17="Alta",'Mapa final'!$AB$17="Mayor"),CONCATENATE("R6C",'Mapa final'!$P$17),"")</f>
        <v/>
      </c>
      <c r="AE21" s="51" t="e">
        <f>IF(AND('Mapa final'!#REF!="Alta",'Mapa final'!#REF!="Mayor"),CONCATENATE("R6C",'Mapa final'!#REF!),"")</f>
        <v>#REF!</v>
      </c>
      <c r="AF21" s="51" t="e">
        <f>IF(AND('Mapa final'!#REF!="Alta",'Mapa final'!#REF!="Mayor"),CONCATENATE("R6C",'Mapa final'!#REF!),"")</f>
        <v>#REF!</v>
      </c>
      <c r="AG21" s="52" t="e">
        <f>IF(AND('Mapa final'!#REF!="Alta",'Mapa final'!#REF!="Mayor"),CONCATENATE("R6C",'Mapa final'!#REF!),"")</f>
        <v>#REF!</v>
      </c>
      <c r="AH21" s="53" t="str">
        <f>IF(AND('Mapa final'!$Z$15="Alta",'Mapa final'!$AB$15="Catastrófico"),CONCATENATE("R6C",'Mapa final'!$P$15),"")</f>
        <v/>
      </c>
      <c r="AI21" s="54" t="str">
        <f>IF(AND('Mapa final'!$Z$16="Alta",'Mapa final'!$AB$16="Catastrófico"),CONCATENATE("R6C",'Mapa final'!$P$16),"")</f>
        <v/>
      </c>
      <c r="AJ21" s="54" t="str">
        <f>IF(AND('Mapa final'!$Z$17="Alta",'Mapa final'!$AB$17="Catastrófico"),CONCATENATE("R6C",'Mapa final'!$P$17),"")</f>
        <v/>
      </c>
      <c r="AK21" s="54" t="e">
        <f>IF(AND('Mapa final'!#REF!="Alta",'Mapa final'!#REF!="Catastrófico"),CONCATENATE("R6C",'Mapa final'!#REF!),"")</f>
        <v>#REF!</v>
      </c>
      <c r="AL21" s="54" t="e">
        <f>IF(AND('Mapa final'!#REF!="Alta",'Mapa final'!#REF!="Catastrófico"),CONCATENATE("R6C",'Mapa final'!#REF!),"")</f>
        <v>#REF!</v>
      </c>
      <c r="AM21" s="55" t="e">
        <f>IF(AND('Mapa final'!#REF!="Alta",'Mapa final'!#REF!="Catastrófico"),CONCATENATE("R6C",'Mapa final'!#REF!),"")</f>
        <v>#REF!</v>
      </c>
      <c r="AN21" s="81"/>
      <c r="AO21" s="388"/>
      <c r="AP21" s="389"/>
      <c r="AQ21" s="389"/>
      <c r="AR21" s="389"/>
      <c r="AS21" s="389"/>
      <c r="AT21" s="390"/>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337"/>
      <c r="C22" s="337"/>
      <c r="D22" s="338"/>
      <c r="E22" s="378"/>
      <c r="F22" s="379"/>
      <c r="G22" s="379"/>
      <c r="H22" s="379"/>
      <c r="I22" s="379"/>
      <c r="J22" s="65" t="str">
        <f>IF(AND('Mapa final'!$Z$18="Alta",'Mapa final'!$AB$18="Leve"),CONCATENATE("R7C",'Mapa final'!$P$18),"")</f>
        <v/>
      </c>
      <c r="K22" s="66" t="str">
        <f>IF(AND('Mapa final'!$Z$19="Alta",'Mapa final'!$AB$19="Leve"),CONCATENATE("R7C",'Mapa final'!$P$19),"")</f>
        <v/>
      </c>
      <c r="L22" s="66" t="e">
        <f>IF(AND('Mapa final'!#REF!="Alta",'Mapa final'!#REF!="Leve"),CONCATENATE("R7C",'Mapa final'!#REF!),"")</f>
        <v>#REF!</v>
      </c>
      <c r="M22" s="66" t="e">
        <f>IF(AND('Mapa final'!#REF!="Alta",'Mapa final'!#REF!="Leve"),CONCATENATE("R7C",'Mapa final'!#REF!),"")</f>
        <v>#REF!</v>
      </c>
      <c r="N22" s="66" t="e">
        <f>IF(AND('Mapa final'!#REF!="Alta",'Mapa final'!#REF!="Leve"),CONCATENATE("R7C",'Mapa final'!#REF!),"")</f>
        <v>#REF!</v>
      </c>
      <c r="O22" s="67" t="e">
        <f>IF(AND('Mapa final'!#REF!="Alta",'Mapa final'!#REF!="Leve"),CONCATENATE("R7C",'Mapa final'!#REF!),"")</f>
        <v>#REF!</v>
      </c>
      <c r="P22" s="65" t="str">
        <f>IF(AND('Mapa final'!$Z$18="Alta",'Mapa final'!$AB$18="Menor"),CONCATENATE("R7C",'Mapa final'!$P$18),"")</f>
        <v/>
      </c>
      <c r="Q22" s="66" t="str">
        <f>IF(AND('Mapa final'!$Z$19="Alta",'Mapa final'!$AB$19="Menor"),CONCATENATE("R7C",'Mapa final'!$P$19),"")</f>
        <v/>
      </c>
      <c r="R22" s="66" t="e">
        <f>IF(AND('Mapa final'!#REF!="Alta",'Mapa final'!#REF!="Menor"),CONCATENATE("R7C",'Mapa final'!#REF!),"")</f>
        <v>#REF!</v>
      </c>
      <c r="S22" s="66" t="e">
        <f>IF(AND('Mapa final'!#REF!="Alta",'Mapa final'!#REF!="Menor"),CONCATENATE("R7C",'Mapa final'!#REF!),"")</f>
        <v>#REF!</v>
      </c>
      <c r="T22" s="66" t="e">
        <f>IF(AND('Mapa final'!#REF!="Alta",'Mapa final'!#REF!="Menor"),CONCATENATE("R7C",'Mapa final'!#REF!),"")</f>
        <v>#REF!</v>
      </c>
      <c r="U22" s="67" t="e">
        <f>IF(AND('Mapa final'!#REF!="Alta",'Mapa final'!#REF!="Menor"),CONCATENATE("R7C",'Mapa final'!#REF!),"")</f>
        <v>#REF!</v>
      </c>
      <c r="V22" s="50" t="str">
        <f>IF(AND('Mapa final'!$Z$18="Alta",'Mapa final'!$AB$18="Moderado"),CONCATENATE("R7C",'Mapa final'!$P$18),"")</f>
        <v/>
      </c>
      <c r="W22" s="51" t="str">
        <f>IF(AND('Mapa final'!$Z$19="Alta",'Mapa final'!$AB$19="Moderado"),CONCATENATE("R7C",'Mapa final'!$P$19),"")</f>
        <v/>
      </c>
      <c r="X22" s="51" t="e">
        <f>IF(AND('Mapa final'!#REF!="Alta",'Mapa final'!#REF!="Moderado"),CONCATENATE("R7C",'Mapa final'!#REF!),"")</f>
        <v>#REF!</v>
      </c>
      <c r="Y22" s="51" t="e">
        <f>IF(AND('Mapa final'!#REF!="Alta",'Mapa final'!#REF!="Moderado"),CONCATENATE("R7C",'Mapa final'!#REF!),"")</f>
        <v>#REF!</v>
      </c>
      <c r="Z22" s="51" t="e">
        <f>IF(AND('Mapa final'!#REF!="Alta",'Mapa final'!#REF!="Moderado"),CONCATENATE("R7C",'Mapa final'!#REF!),"")</f>
        <v>#REF!</v>
      </c>
      <c r="AA22" s="52" t="e">
        <f>IF(AND('Mapa final'!#REF!="Alta",'Mapa final'!#REF!="Moderado"),CONCATENATE("R7C",'Mapa final'!#REF!),"")</f>
        <v>#REF!</v>
      </c>
      <c r="AB22" s="50" t="str">
        <f>IF(AND('Mapa final'!$Z$18="Alta",'Mapa final'!$AB$18="Mayor"),CONCATENATE("R7C",'Mapa final'!$P$18),"")</f>
        <v/>
      </c>
      <c r="AC22" s="51" t="str">
        <f>IF(AND('Mapa final'!$Z$19="Alta",'Mapa final'!$AB$19="Mayor"),CONCATENATE("R7C",'Mapa final'!$P$19),"")</f>
        <v/>
      </c>
      <c r="AD22" s="51" t="e">
        <f>IF(AND('Mapa final'!#REF!="Alta",'Mapa final'!#REF!="Mayor"),CONCATENATE("R7C",'Mapa final'!#REF!),"")</f>
        <v>#REF!</v>
      </c>
      <c r="AE22" s="51" t="e">
        <f>IF(AND('Mapa final'!#REF!="Alta",'Mapa final'!#REF!="Mayor"),CONCATENATE("R7C",'Mapa final'!#REF!),"")</f>
        <v>#REF!</v>
      </c>
      <c r="AF22" s="51" t="e">
        <f>IF(AND('Mapa final'!#REF!="Alta",'Mapa final'!#REF!="Mayor"),CONCATENATE("R7C",'Mapa final'!#REF!),"")</f>
        <v>#REF!</v>
      </c>
      <c r="AG22" s="52" t="e">
        <f>IF(AND('Mapa final'!#REF!="Alta",'Mapa final'!#REF!="Mayor"),CONCATENATE("R7C",'Mapa final'!#REF!),"")</f>
        <v>#REF!</v>
      </c>
      <c r="AH22" s="53" t="str">
        <f>IF(AND('Mapa final'!$Z$18="Alta",'Mapa final'!$AB$18="Catastrófico"),CONCATENATE("R7C",'Mapa final'!$P$18),"")</f>
        <v/>
      </c>
      <c r="AI22" s="54" t="str">
        <f>IF(AND('Mapa final'!$Z$19="Alta",'Mapa final'!$AB$19="Catastrófico"),CONCATENATE("R7C",'Mapa final'!$P$19),"")</f>
        <v/>
      </c>
      <c r="AJ22" s="54" t="e">
        <f>IF(AND('Mapa final'!#REF!="Alta",'Mapa final'!#REF!="Catastrófico"),CONCATENATE("R7C",'Mapa final'!#REF!),"")</f>
        <v>#REF!</v>
      </c>
      <c r="AK22" s="54" t="e">
        <f>IF(AND('Mapa final'!#REF!="Alta",'Mapa final'!#REF!="Catastrófico"),CONCATENATE("R7C",'Mapa final'!#REF!),"")</f>
        <v>#REF!</v>
      </c>
      <c r="AL22" s="54" t="e">
        <f>IF(AND('Mapa final'!#REF!="Alta",'Mapa final'!#REF!="Catastrófico"),CONCATENATE("R7C",'Mapa final'!#REF!),"")</f>
        <v>#REF!</v>
      </c>
      <c r="AM22" s="55" t="e">
        <f>IF(AND('Mapa final'!#REF!="Alta",'Mapa final'!#REF!="Catastrófico"),CONCATENATE("R7C",'Mapa final'!#REF!),"")</f>
        <v>#REF!</v>
      </c>
      <c r="AN22" s="81"/>
      <c r="AO22" s="388"/>
      <c r="AP22" s="389"/>
      <c r="AQ22" s="389"/>
      <c r="AR22" s="389"/>
      <c r="AS22" s="389"/>
      <c r="AT22" s="390"/>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337"/>
      <c r="C23" s="337"/>
      <c r="D23" s="338"/>
      <c r="E23" s="378"/>
      <c r="F23" s="379"/>
      <c r="G23" s="379"/>
      <c r="H23" s="379"/>
      <c r="I23" s="379"/>
      <c r="J23" s="65" t="str">
        <f>IF(AND('Mapa final'!$Z$20="Alta",'Mapa final'!$AB$20="Leve"),CONCATENATE("R8C",'Mapa final'!$P$20),"")</f>
        <v/>
      </c>
      <c r="K23" s="66" t="str">
        <f>IF(AND('Mapa final'!$Z$21="Alta",'Mapa final'!$AB$21="Leve"),CONCATENATE("R8C",'Mapa final'!$P$21),"")</f>
        <v/>
      </c>
      <c r="L23" s="66" t="e">
        <f>IF(AND('Mapa final'!#REF!="Alta",'Mapa final'!#REF!="Leve"),CONCATENATE("R8C",'Mapa final'!#REF!),"")</f>
        <v>#REF!</v>
      </c>
      <c r="M23" s="66" t="e">
        <f>IF(AND('Mapa final'!#REF!="Alta",'Mapa final'!#REF!="Leve"),CONCATENATE("R8C",'Mapa final'!#REF!),"")</f>
        <v>#REF!</v>
      </c>
      <c r="N23" s="66" t="e">
        <f>IF(AND('Mapa final'!#REF!="Alta",'Mapa final'!#REF!="Leve"),CONCATENATE("R8C",'Mapa final'!#REF!),"")</f>
        <v>#REF!</v>
      </c>
      <c r="O23" s="67" t="e">
        <f>IF(AND('Mapa final'!#REF!="Alta",'Mapa final'!#REF!="Leve"),CONCATENATE("R8C",'Mapa final'!#REF!),"")</f>
        <v>#REF!</v>
      </c>
      <c r="P23" s="65" t="str">
        <f>IF(AND('Mapa final'!$Z$20="Alta",'Mapa final'!$AB$20="Menor"),CONCATENATE("R8C",'Mapa final'!$P$20),"")</f>
        <v/>
      </c>
      <c r="Q23" s="66" t="str">
        <f>IF(AND('Mapa final'!$Z$21="Alta",'Mapa final'!$AB$21="Menor"),CONCATENATE("R8C",'Mapa final'!$P$21),"")</f>
        <v/>
      </c>
      <c r="R23" s="66" t="e">
        <f>IF(AND('Mapa final'!#REF!="Alta",'Mapa final'!#REF!="Menor"),CONCATENATE("R8C",'Mapa final'!#REF!),"")</f>
        <v>#REF!</v>
      </c>
      <c r="S23" s="66" t="e">
        <f>IF(AND('Mapa final'!#REF!="Alta",'Mapa final'!#REF!="Menor"),CONCATENATE("R8C",'Mapa final'!#REF!),"")</f>
        <v>#REF!</v>
      </c>
      <c r="T23" s="66" t="e">
        <f>IF(AND('Mapa final'!#REF!="Alta",'Mapa final'!#REF!="Menor"),CONCATENATE("R8C",'Mapa final'!#REF!),"")</f>
        <v>#REF!</v>
      </c>
      <c r="U23" s="67" t="e">
        <f>IF(AND('Mapa final'!#REF!="Alta",'Mapa final'!#REF!="Menor"),CONCATENATE("R8C",'Mapa final'!#REF!),"")</f>
        <v>#REF!</v>
      </c>
      <c r="V23" s="50" t="str">
        <f>IF(AND('Mapa final'!$Z$20="Alta",'Mapa final'!$AB$20="Moderado"),CONCATENATE("R8C",'Mapa final'!$P$20),"")</f>
        <v/>
      </c>
      <c r="W23" s="51" t="str">
        <f>IF(AND('Mapa final'!$Z$21="Alta",'Mapa final'!$AB$21="Moderado"),CONCATENATE("R8C",'Mapa final'!$P$21),"")</f>
        <v/>
      </c>
      <c r="X23" s="51" t="e">
        <f>IF(AND('Mapa final'!#REF!="Alta",'Mapa final'!#REF!="Moderado"),CONCATENATE("R8C",'Mapa final'!#REF!),"")</f>
        <v>#REF!</v>
      </c>
      <c r="Y23" s="51" t="e">
        <f>IF(AND('Mapa final'!#REF!="Alta",'Mapa final'!#REF!="Moderado"),CONCATENATE("R8C",'Mapa final'!#REF!),"")</f>
        <v>#REF!</v>
      </c>
      <c r="Z23" s="51" t="e">
        <f>IF(AND('Mapa final'!#REF!="Alta",'Mapa final'!#REF!="Moderado"),CONCATENATE("R8C",'Mapa final'!#REF!),"")</f>
        <v>#REF!</v>
      </c>
      <c r="AA23" s="52" t="e">
        <f>IF(AND('Mapa final'!#REF!="Alta",'Mapa final'!#REF!="Moderado"),CONCATENATE("R8C",'Mapa final'!#REF!),"")</f>
        <v>#REF!</v>
      </c>
      <c r="AB23" s="50" t="str">
        <f>IF(AND('Mapa final'!$Z$20="Alta",'Mapa final'!$AB$20="Mayor"),CONCATENATE("R8C",'Mapa final'!$P$20),"")</f>
        <v/>
      </c>
      <c r="AC23" s="51" t="str">
        <f>IF(AND('Mapa final'!$Z$21="Alta",'Mapa final'!$AB$21="Mayor"),CONCATENATE("R8C",'Mapa final'!$P$21),"")</f>
        <v/>
      </c>
      <c r="AD23" s="51" t="e">
        <f>IF(AND('Mapa final'!#REF!="Alta",'Mapa final'!#REF!="Mayor"),CONCATENATE("R8C",'Mapa final'!#REF!),"")</f>
        <v>#REF!</v>
      </c>
      <c r="AE23" s="51" t="e">
        <f>IF(AND('Mapa final'!#REF!="Alta",'Mapa final'!#REF!="Mayor"),CONCATENATE("R8C",'Mapa final'!#REF!),"")</f>
        <v>#REF!</v>
      </c>
      <c r="AF23" s="51" t="e">
        <f>IF(AND('Mapa final'!#REF!="Alta",'Mapa final'!#REF!="Mayor"),CONCATENATE("R8C",'Mapa final'!#REF!),"")</f>
        <v>#REF!</v>
      </c>
      <c r="AG23" s="52" t="e">
        <f>IF(AND('Mapa final'!#REF!="Alta",'Mapa final'!#REF!="Mayor"),CONCATENATE("R8C",'Mapa final'!#REF!),"")</f>
        <v>#REF!</v>
      </c>
      <c r="AH23" s="53" t="str">
        <f>IF(AND('Mapa final'!$Z$20="Alta",'Mapa final'!$AB$20="Catastrófico"),CONCATENATE("R8C",'Mapa final'!$P$20),"")</f>
        <v/>
      </c>
      <c r="AI23" s="54" t="str">
        <f>IF(AND('Mapa final'!$Z$21="Alta",'Mapa final'!$AB$21="Catastrófico"),CONCATENATE("R8C",'Mapa final'!$P$21),"")</f>
        <v/>
      </c>
      <c r="AJ23" s="54" t="e">
        <f>IF(AND('Mapa final'!#REF!="Alta",'Mapa final'!#REF!="Catastrófico"),CONCATENATE("R8C",'Mapa final'!#REF!),"")</f>
        <v>#REF!</v>
      </c>
      <c r="AK23" s="54" t="e">
        <f>IF(AND('Mapa final'!#REF!="Alta",'Mapa final'!#REF!="Catastrófico"),CONCATENATE("R8C",'Mapa final'!#REF!),"")</f>
        <v>#REF!</v>
      </c>
      <c r="AL23" s="54" t="e">
        <f>IF(AND('Mapa final'!#REF!="Alta",'Mapa final'!#REF!="Catastrófico"),CONCATENATE("R8C",'Mapa final'!#REF!),"")</f>
        <v>#REF!</v>
      </c>
      <c r="AM23" s="55" t="e">
        <f>IF(AND('Mapa final'!#REF!="Alta",'Mapa final'!#REF!="Catastrófico"),CONCATENATE("R8C",'Mapa final'!#REF!),"")</f>
        <v>#REF!</v>
      </c>
      <c r="AN23" s="81"/>
      <c r="AO23" s="388"/>
      <c r="AP23" s="389"/>
      <c r="AQ23" s="389"/>
      <c r="AR23" s="389"/>
      <c r="AS23" s="389"/>
      <c r="AT23" s="390"/>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337"/>
      <c r="C24" s="337"/>
      <c r="D24" s="338"/>
      <c r="E24" s="378"/>
      <c r="F24" s="379"/>
      <c r="G24" s="379"/>
      <c r="H24" s="379"/>
      <c r="I24" s="379"/>
      <c r="J24" s="65" t="str">
        <f>IF(AND('Mapa final'!$Z$22="Alta",'Mapa final'!$AB$22="Leve"),CONCATENATE("R9C",'Mapa final'!$P$22),"")</f>
        <v/>
      </c>
      <c r="K24" s="66" t="str">
        <f>IF(AND('Mapa final'!$Z$23="Alta",'Mapa final'!$AB$23="Leve"),CONCATENATE("R9C",'Mapa final'!$P$23),"")</f>
        <v/>
      </c>
      <c r="L24" s="66" t="e">
        <f>IF(AND('Mapa final'!#REF!="Alta",'Mapa final'!#REF!="Leve"),CONCATENATE("R9C",'Mapa final'!#REF!),"")</f>
        <v>#REF!</v>
      </c>
      <c r="M24" s="66" t="e">
        <f>IF(AND('Mapa final'!#REF!="Alta",'Mapa final'!#REF!="Leve"),CONCATENATE("R9C",'Mapa final'!#REF!),"")</f>
        <v>#REF!</v>
      </c>
      <c r="N24" s="66" t="e">
        <f>IF(AND('Mapa final'!#REF!="Alta",'Mapa final'!#REF!="Leve"),CONCATENATE("R9C",'Mapa final'!#REF!),"")</f>
        <v>#REF!</v>
      </c>
      <c r="O24" s="67" t="e">
        <f>IF(AND('Mapa final'!#REF!="Alta",'Mapa final'!#REF!="Leve"),CONCATENATE("R9C",'Mapa final'!#REF!),"")</f>
        <v>#REF!</v>
      </c>
      <c r="P24" s="65" t="str">
        <f>IF(AND('Mapa final'!$Z$22="Alta",'Mapa final'!$AB$22="Menor"),CONCATENATE("R9C",'Mapa final'!$P$22),"")</f>
        <v/>
      </c>
      <c r="Q24" s="66" t="str">
        <f>IF(AND('Mapa final'!$Z$23="Alta",'Mapa final'!$AB$23="Menor"),CONCATENATE("R9C",'Mapa final'!$P$23),"")</f>
        <v/>
      </c>
      <c r="R24" s="66" t="e">
        <f>IF(AND('Mapa final'!#REF!="Alta",'Mapa final'!#REF!="Menor"),CONCATENATE("R9C",'Mapa final'!#REF!),"")</f>
        <v>#REF!</v>
      </c>
      <c r="S24" s="66" t="e">
        <f>IF(AND('Mapa final'!#REF!="Alta",'Mapa final'!#REF!="Menor"),CONCATENATE("R9C",'Mapa final'!#REF!),"")</f>
        <v>#REF!</v>
      </c>
      <c r="T24" s="66" t="e">
        <f>IF(AND('Mapa final'!#REF!="Alta",'Mapa final'!#REF!="Menor"),CONCATENATE("R9C",'Mapa final'!#REF!),"")</f>
        <v>#REF!</v>
      </c>
      <c r="U24" s="67" t="e">
        <f>IF(AND('Mapa final'!#REF!="Alta",'Mapa final'!#REF!="Menor"),CONCATENATE("R9C",'Mapa final'!#REF!),"")</f>
        <v>#REF!</v>
      </c>
      <c r="V24" s="50" t="str">
        <f>IF(AND('Mapa final'!$Z$22="Alta",'Mapa final'!$AB$22="Moderado"),CONCATENATE("R9C",'Mapa final'!$P$22),"")</f>
        <v/>
      </c>
      <c r="W24" s="51" t="str">
        <f>IF(AND('Mapa final'!$Z$23="Alta",'Mapa final'!$AB$23="Moderado"),CONCATENATE("R9C",'Mapa final'!$P$23),"")</f>
        <v/>
      </c>
      <c r="X24" s="51" t="e">
        <f>IF(AND('Mapa final'!#REF!="Alta",'Mapa final'!#REF!="Moderado"),CONCATENATE("R9C",'Mapa final'!#REF!),"")</f>
        <v>#REF!</v>
      </c>
      <c r="Y24" s="51" t="e">
        <f>IF(AND('Mapa final'!#REF!="Alta",'Mapa final'!#REF!="Moderado"),CONCATENATE("R9C",'Mapa final'!#REF!),"")</f>
        <v>#REF!</v>
      </c>
      <c r="Z24" s="51" t="e">
        <f>IF(AND('Mapa final'!#REF!="Alta",'Mapa final'!#REF!="Moderado"),CONCATENATE("R9C",'Mapa final'!#REF!),"")</f>
        <v>#REF!</v>
      </c>
      <c r="AA24" s="52" t="e">
        <f>IF(AND('Mapa final'!#REF!="Alta",'Mapa final'!#REF!="Moderado"),CONCATENATE("R9C",'Mapa final'!#REF!),"")</f>
        <v>#REF!</v>
      </c>
      <c r="AB24" s="50" t="str">
        <f>IF(AND('Mapa final'!$Z$22="Alta",'Mapa final'!$AB$22="Mayor"),CONCATENATE("R9C",'Mapa final'!$P$22),"")</f>
        <v/>
      </c>
      <c r="AC24" s="51" t="str">
        <f>IF(AND('Mapa final'!$Z$23="Alta",'Mapa final'!$AB$23="Mayor"),CONCATENATE("R9C",'Mapa final'!$P$23),"")</f>
        <v/>
      </c>
      <c r="AD24" s="51" t="e">
        <f>IF(AND('Mapa final'!#REF!="Alta",'Mapa final'!#REF!="Mayor"),CONCATENATE("R9C",'Mapa final'!#REF!),"")</f>
        <v>#REF!</v>
      </c>
      <c r="AE24" s="51" t="e">
        <f>IF(AND('Mapa final'!#REF!="Alta",'Mapa final'!#REF!="Mayor"),CONCATENATE("R9C",'Mapa final'!#REF!),"")</f>
        <v>#REF!</v>
      </c>
      <c r="AF24" s="51" t="e">
        <f>IF(AND('Mapa final'!#REF!="Alta",'Mapa final'!#REF!="Mayor"),CONCATENATE("R9C",'Mapa final'!#REF!),"")</f>
        <v>#REF!</v>
      </c>
      <c r="AG24" s="52" t="e">
        <f>IF(AND('Mapa final'!#REF!="Alta",'Mapa final'!#REF!="Mayor"),CONCATENATE("R9C",'Mapa final'!#REF!),"")</f>
        <v>#REF!</v>
      </c>
      <c r="AH24" s="53" t="str">
        <f>IF(AND('Mapa final'!$Z$22="Alta",'Mapa final'!$AB$22="Catastrófico"),CONCATENATE("R9C",'Mapa final'!$P$22),"")</f>
        <v/>
      </c>
      <c r="AI24" s="54" t="str">
        <f>IF(AND('Mapa final'!$Z$23="Alta",'Mapa final'!$AB$23="Catastrófico"),CONCATENATE("R9C",'Mapa final'!$P$23),"")</f>
        <v/>
      </c>
      <c r="AJ24" s="54" t="e">
        <f>IF(AND('Mapa final'!#REF!="Alta",'Mapa final'!#REF!="Catastrófico"),CONCATENATE("R9C",'Mapa final'!#REF!),"")</f>
        <v>#REF!</v>
      </c>
      <c r="AK24" s="54" t="e">
        <f>IF(AND('Mapa final'!#REF!="Alta",'Mapa final'!#REF!="Catastrófico"),CONCATENATE("R9C",'Mapa final'!#REF!),"")</f>
        <v>#REF!</v>
      </c>
      <c r="AL24" s="54" t="e">
        <f>IF(AND('Mapa final'!#REF!="Alta",'Mapa final'!#REF!="Catastrófico"),CONCATENATE("R9C",'Mapa final'!#REF!),"")</f>
        <v>#REF!</v>
      </c>
      <c r="AM24" s="55" t="e">
        <f>IF(AND('Mapa final'!#REF!="Alta",'Mapa final'!#REF!="Catastrófico"),CONCATENATE("R9C",'Mapa final'!#REF!),"")</f>
        <v>#REF!</v>
      </c>
      <c r="AN24" s="81"/>
      <c r="AO24" s="388"/>
      <c r="AP24" s="389"/>
      <c r="AQ24" s="389"/>
      <c r="AR24" s="389"/>
      <c r="AS24" s="389"/>
      <c r="AT24" s="390"/>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337"/>
      <c r="C25" s="337"/>
      <c r="D25" s="338"/>
      <c r="E25" s="381"/>
      <c r="F25" s="382"/>
      <c r="G25" s="382"/>
      <c r="H25" s="382"/>
      <c r="I25" s="382"/>
      <c r="J25" s="68" t="str">
        <f>IF(AND('Mapa final'!$Z$24="Alta",'Mapa final'!$AB$24="Leve"),CONCATENATE("R10C",'Mapa final'!$P$24),"")</f>
        <v/>
      </c>
      <c r="K25" s="69" t="str">
        <f>IF(AND('Mapa final'!$Z$25="Alta",'Mapa final'!$AB$25="Leve"),CONCATENATE("R10C",'Mapa final'!$P$25),"")</f>
        <v/>
      </c>
      <c r="L25" s="69" t="e">
        <f>IF(AND('Mapa final'!#REF!="Alta",'Mapa final'!#REF!="Leve"),CONCATENATE("R10C",'Mapa final'!#REF!),"")</f>
        <v>#REF!</v>
      </c>
      <c r="M25" s="69" t="e">
        <f>IF(AND('Mapa final'!#REF!="Alta",'Mapa final'!#REF!="Leve"),CONCATENATE("R10C",'Mapa final'!#REF!),"")</f>
        <v>#REF!</v>
      </c>
      <c r="N25" s="69" t="e">
        <f>IF(AND('Mapa final'!#REF!="Alta",'Mapa final'!#REF!="Leve"),CONCATENATE("R10C",'Mapa final'!#REF!),"")</f>
        <v>#REF!</v>
      </c>
      <c r="O25" s="70" t="e">
        <f>IF(AND('Mapa final'!#REF!="Alta",'Mapa final'!#REF!="Leve"),CONCATENATE("R10C",'Mapa final'!#REF!),"")</f>
        <v>#REF!</v>
      </c>
      <c r="P25" s="68" t="str">
        <f>IF(AND('Mapa final'!$Z$24="Alta",'Mapa final'!$AB$24="Menor"),CONCATENATE("R10C",'Mapa final'!$P$24),"")</f>
        <v/>
      </c>
      <c r="Q25" s="69" t="str">
        <f>IF(AND('Mapa final'!$Z$25="Alta",'Mapa final'!$AB$25="Menor"),CONCATENATE("R10C",'Mapa final'!$P$25),"")</f>
        <v/>
      </c>
      <c r="R25" s="69" t="e">
        <f>IF(AND('Mapa final'!#REF!="Alta",'Mapa final'!#REF!="Menor"),CONCATENATE("R10C",'Mapa final'!#REF!),"")</f>
        <v>#REF!</v>
      </c>
      <c r="S25" s="69" t="e">
        <f>IF(AND('Mapa final'!#REF!="Alta",'Mapa final'!#REF!="Menor"),CONCATENATE("R10C",'Mapa final'!#REF!),"")</f>
        <v>#REF!</v>
      </c>
      <c r="T25" s="69" t="e">
        <f>IF(AND('Mapa final'!#REF!="Alta",'Mapa final'!#REF!="Menor"),CONCATENATE("R10C",'Mapa final'!#REF!),"")</f>
        <v>#REF!</v>
      </c>
      <c r="U25" s="70" t="e">
        <f>IF(AND('Mapa final'!#REF!="Alta",'Mapa final'!#REF!="Menor"),CONCATENATE("R10C",'Mapa final'!#REF!),"")</f>
        <v>#REF!</v>
      </c>
      <c r="V25" s="56" t="str">
        <f>IF(AND('Mapa final'!$Z$24="Alta",'Mapa final'!$AB$24="Moderado"),CONCATENATE("R10C",'Mapa final'!$P$24),"")</f>
        <v/>
      </c>
      <c r="W25" s="57" t="str">
        <f>IF(AND('Mapa final'!$Z$25="Alta",'Mapa final'!$AB$25="Moderado"),CONCATENATE("R10C",'Mapa final'!$P$25),"")</f>
        <v/>
      </c>
      <c r="X25" s="57" t="e">
        <f>IF(AND('Mapa final'!#REF!="Alta",'Mapa final'!#REF!="Moderado"),CONCATENATE("R10C",'Mapa final'!#REF!),"")</f>
        <v>#REF!</v>
      </c>
      <c r="Y25" s="57" t="e">
        <f>IF(AND('Mapa final'!#REF!="Alta",'Mapa final'!#REF!="Moderado"),CONCATENATE("R10C",'Mapa final'!#REF!),"")</f>
        <v>#REF!</v>
      </c>
      <c r="Z25" s="57" t="e">
        <f>IF(AND('Mapa final'!#REF!="Alta",'Mapa final'!#REF!="Moderado"),CONCATENATE("R10C",'Mapa final'!#REF!),"")</f>
        <v>#REF!</v>
      </c>
      <c r="AA25" s="58" t="e">
        <f>IF(AND('Mapa final'!#REF!="Alta",'Mapa final'!#REF!="Moderado"),CONCATENATE("R10C",'Mapa final'!#REF!),"")</f>
        <v>#REF!</v>
      </c>
      <c r="AB25" s="56" t="str">
        <f>IF(AND('Mapa final'!$Z$24="Alta",'Mapa final'!$AB$24="Mayor"),CONCATENATE("R10C",'Mapa final'!$P$24),"")</f>
        <v/>
      </c>
      <c r="AC25" s="57" t="str">
        <f>IF(AND('Mapa final'!$Z$25="Alta",'Mapa final'!$AB$25="Mayor"),CONCATENATE("R10C",'Mapa final'!$P$25),"")</f>
        <v/>
      </c>
      <c r="AD25" s="57" t="e">
        <f>IF(AND('Mapa final'!#REF!="Alta",'Mapa final'!#REF!="Mayor"),CONCATENATE("R10C",'Mapa final'!#REF!),"")</f>
        <v>#REF!</v>
      </c>
      <c r="AE25" s="57" t="e">
        <f>IF(AND('Mapa final'!#REF!="Alta",'Mapa final'!#REF!="Mayor"),CONCATENATE("R10C",'Mapa final'!#REF!),"")</f>
        <v>#REF!</v>
      </c>
      <c r="AF25" s="57" t="e">
        <f>IF(AND('Mapa final'!#REF!="Alta",'Mapa final'!#REF!="Mayor"),CONCATENATE("R10C",'Mapa final'!#REF!),"")</f>
        <v>#REF!</v>
      </c>
      <c r="AG25" s="58" t="e">
        <f>IF(AND('Mapa final'!#REF!="Alta",'Mapa final'!#REF!="Mayor"),CONCATENATE("R10C",'Mapa final'!#REF!),"")</f>
        <v>#REF!</v>
      </c>
      <c r="AH25" s="59" t="str">
        <f>IF(AND('Mapa final'!$Z$24="Alta",'Mapa final'!$AB$24="Catastrófico"),CONCATENATE("R10C",'Mapa final'!$P$24),"")</f>
        <v/>
      </c>
      <c r="AI25" s="60" t="str">
        <f>IF(AND('Mapa final'!$Z$25="Alta",'Mapa final'!$AB$25="Catastrófico"),CONCATENATE("R10C",'Mapa final'!$P$25),"")</f>
        <v/>
      </c>
      <c r="AJ25" s="60" t="e">
        <f>IF(AND('Mapa final'!#REF!="Alta",'Mapa final'!#REF!="Catastrófico"),CONCATENATE("R10C",'Mapa final'!#REF!),"")</f>
        <v>#REF!</v>
      </c>
      <c r="AK25" s="60" t="e">
        <f>IF(AND('Mapa final'!#REF!="Alta",'Mapa final'!#REF!="Catastrófico"),CONCATENATE("R10C",'Mapa final'!#REF!),"")</f>
        <v>#REF!</v>
      </c>
      <c r="AL25" s="60" t="e">
        <f>IF(AND('Mapa final'!#REF!="Alta",'Mapa final'!#REF!="Catastrófico"),CONCATENATE("R10C",'Mapa final'!#REF!),"")</f>
        <v>#REF!</v>
      </c>
      <c r="AM25" s="61" t="e">
        <f>IF(AND('Mapa final'!#REF!="Alta",'Mapa final'!#REF!="Catastrófico"),CONCATENATE("R10C",'Mapa final'!#REF!),"")</f>
        <v>#REF!</v>
      </c>
      <c r="AN25" s="81"/>
      <c r="AO25" s="391"/>
      <c r="AP25" s="392"/>
      <c r="AQ25" s="392"/>
      <c r="AR25" s="392"/>
      <c r="AS25" s="392"/>
      <c r="AT25" s="393"/>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337"/>
      <c r="C26" s="337"/>
      <c r="D26" s="338"/>
      <c r="E26" s="375" t="s">
        <v>115</v>
      </c>
      <c r="F26" s="376"/>
      <c r="G26" s="376"/>
      <c r="H26" s="376"/>
      <c r="I26" s="377"/>
      <c r="J26" s="62" t="str">
        <f>IF(AND('Mapa final'!$Z$7="Media",'Mapa final'!$AB$7="Leve"),CONCATENATE("R1C",'Mapa final'!$P$7),"")</f>
        <v/>
      </c>
      <c r="K26" s="63" t="str">
        <f>IF(AND('Mapa final'!$Z$8="Media",'Mapa final'!$AB$8="Leve"),CONCATENATE("R1C",'Mapa final'!$P$8),"")</f>
        <v/>
      </c>
      <c r="L26" s="63" t="e">
        <f>IF(AND('Mapa final'!#REF!="Media",'Mapa final'!#REF!="Leve"),CONCATENATE("R1C",'Mapa final'!#REF!),"")</f>
        <v>#REF!</v>
      </c>
      <c r="M26" s="63" t="e">
        <f>IF(AND('Mapa final'!#REF!="Media",'Mapa final'!#REF!="Leve"),CONCATENATE("R1C",'Mapa final'!#REF!),"")</f>
        <v>#REF!</v>
      </c>
      <c r="N26" s="63" t="e">
        <f>IF(AND('Mapa final'!#REF!="Media",'Mapa final'!#REF!="Leve"),CONCATENATE("R1C",'Mapa final'!#REF!),"")</f>
        <v>#REF!</v>
      </c>
      <c r="O26" s="64" t="e">
        <f>IF(AND('Mapa final'!#REF!="Media",'Mapa final'!#REF!="Leve"),CONCATENATE("R1C",'Mapa final'!#REF!),"")</f>
        <v>#REF!</v>
      </c>
      <c r="P26" s="62" t="str">
        <f>IF(AND('Mapa final'!$Z$7="Media",'Mapa final'!$AB$7="Menor"),CONCATENATE("R1C",'Mapa final'!$P$7),"")</f>
        <v/>
      </c>
      <c r="Q26" s="63" t="str">
        <f>IF(AND('Mapa final'!$Z$8="Media",'Mapa final'!$AB$8="Menor"),CONCATENATE("R1C",'Mapa final'!$P$8),"")</f>
        <v/>
      </c>
      <c r="R26" s="63" t="e">
        <f>IF(AND('Mapa final'!#REF!="Media",'Mapa final'!#REF!="Menor"),CONCATENATE("R1C",'Mapa final'!#REF!),"")</f>
        <v>#REF!</v>
      </c>
      <c r="S26" s="63" t="e">
        <f>IF(AND('Mapa final'!#REF!="Media",'Mapa final'!#REF!="Menor"),CONCATENATE("R1C",'Mapa final'!#REF!),"")</f>
        <v>#REF!</v>
      </c>
      <c r="T26" s="63" t="e">
        <f>IF(AND('Mapa final'!#REF!="Media",'Mapa final'!#REF!="Menor"),CONCATENATE("R1C",'Mapa final'!#REF!),"")</f>
        <v>#REF!</v>
      </c>
      <c r="U26" s="64" t="e">
        <f>IF(AND('Mapa final'!#REF!="Media",'Mapa final'!#REF!="Menor"),CONCATENATE("R1C",'Mapa final'!#REF!),"")</f>
        <v>#REF!</v>
      </c>
      <c r="V26" s="62" t="str">
        <f>IF(AND('Mapa final'!$Z$7="Media",'Mapa final'!$AB$7="Moderado"),CONCATENATE("R1C",'Mapa final'!$P$7),"")</f>
        <v/>
      </c>
      <c r="W26" s="63" t="str">
        <f>IF(AND('Mapa final'!$Z$8="Media",'Mapa final'!$AB$8="Moderado"),CONCATENATE("R1C",'Mapa final'!$P$8),"")</f>
        <v/>
      </c>
      <c r="X26" s="63" t="e">
        <f>IF(AND('Mapa final'!#REF!="Media",'Mapa final'!#REF!="Moderado"),CONCATENATE("R1C",'Mapa final'!#REF!),"")</f>
        <v>#REF!</v>
      </c>
      <c r="Y26" s="63" t="e">
        <f>IF(AND('Mapa final'!#REF!="Media",'Mapa final'!#REF!="Moderado"),CONCATENATE("R1C",'Mapa final'!#REF!),"")</f>
        <v>#REF!</v>
      </c>
      <c r="Z26" s="63" t="e">
        <f>IF(AND('Mapa final'!#REF!="Media",'Mapa final'!#REF!="Moderado"),CONCATENATE("R1C",'Mapa final'!#REF!),"")</f>
        <v>#REF!</v>
      </c>
      <c r="AA26" s="64" t="e">
        <f>IF(AND('Mapa final'!#REF!="Media",'Mapa final'!#REF!="Moderado"),CONCATENATE("R1C",'Mapa final'!#REF!),"")</f>
        <v>#REF!</v>
      </c>
      <c r="AB26" s="44" t="str">
        <f>IF(AND('Mapa final'!$Z$7="Media",'Mapa final'!$AB$7="Mayor"),CONCATENATE("R1C",'Mapa final'!$P$7),"")</f>
        <v/>
      </c>
      <c r="AC26" s="45" t="str">
        <f>IF(AND('Mapa final'!$Z$8="Media",'Mapa final'!$AB$8="Mayor"),CONCATENATE("R1C",'Mapa final'!$P$8),"")</f>
        <v/>
      </c>
      <c r="AD26" s="45" t="e">
        <f>IF(AND('Mapa final'!#REF!="Media",'Mapa final'!#REF!="Mayor"),CONCATENATE("R1C",'Mapa final'!#REF!),"")</f>
        <v>#REF!</v>
      </c>
      <c r="AE26" s="45" t="e">
        <f>IF(AND('Mapa final'!#REF!="Media",'Mapa final'!#REF!="Mayor"),CONCATENATE("R1C",'Mapa final'!#REF!),"")</f>
        <v>#REF!</v>
      </c>
      <c r="AF26" s="45" t="e">
        <f>IF(AND('Mapa final'!#REF!="Media",'Mapa final'!#REF!="Mayor"),CONCATENATE("R1C",'Mapa final'!#REF!),"")</f>
        <v>#REF!</v>
      </c>
      <c r="AG26" s="46" t="e">
        <f>IF(AND('Mapa final'!#REF!="Media",'Mapa final'!#REF!="Mayor"),CONCATENATE("R1C",'Mapa final'!#REF!),"")</f>
        <v>#REF!</v>
      </c>
      <c r="AH26" s="47" t="str">
        <f>IF(AND('Mapa final'!$Z$7="Media",'Mapa final'!$AB$7="Catastrófico"),CONCATENATE("R1C",'Mapa final'!$P$7),"")</f>
        <v/>
      </c>
      <c r="AI26" s="48" t="str">
        <f>IF(AND('Mapa final'!$Z$8="Media",'Mapa final'!$AB$8="Catastrófico"),CONCATENATE("R1C",'Mapa final'!$P$8),"")</f>
        <v/>
      </c>
      <c r="AJ26" s="48" t="e">
        <f>IF(AND('Mapa final'!#REF!="Media",'Mapa final'!#REF!="Catastrófico"),CONCATENATE("R1C",'Mapa final'!#REF!),"")</f>
        <v>#REF!</v>
      </c>
      <c r="AK26" s="48" t="e">
        <f>IF(AND('Mapa final'!#REF!="Media",'Mapa final'!#REF!="Catastrófico"),CONCATENATE("R1C",'Mapa final'!#REF!),"")</f>
        <v>#REF!</v>
      </c>
      <c r="AL26" s="48" t="e">
        <f>IF(AND('Mapa final'!#REF!="Media",'Mapa final'!#REF!="Catastrófico"),CONCATENATE("R1C",'Mapa final'!#REF!),"")</f>
        <v>#REF!</v>
      </c>
      <c r="AM26" s="49" t="e">
        <f>IF(AND('Mapa final'!#REF!="Media",'Mapa final'!#REF!="Catastrófico"),CONCATENATE("R1C",'Mapa final'!#REF!),"")</f>
        <v>#REF!</v>
      </c>
      <c r="AN26" s="81"/>
      <c r="AO26" s="415" t="s">
        <v>79</v>
      </c>
      <c r="AP26" s="416"/>
      <c r="AQ26" s="416"/>
      <c r="AR26" s="416"/>
      <c r="AS26" s="416"/>
      <c r="AT26" s="417"/>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337"/>
      <c r="C27" s="337"/>
      <c r="D27" s="338"/>
      <c r="E27" s="394"/>
      <c r="F27" s="379"/>
      <c r="G27" s="379"/>
      <c r="H27" s="379"/>
      <c r="I27" s="380"/>
      <c r="J27" s="65" t="str">
        <f>IF(AND('Mapa final'!$Z$9="Media",'Mapa final'!$AB$9="Leve"),CONCATENATE("R2C",'Mapa final'!$P$9),"")</f>
        <v/>
      </c>
      <c r="K27" s="66" t="str">
        <f>IF(AND('Mapa final'!$Z$10="Media",'Mapa final'!$AB$10="Leve"),CONCATENATE("R2C",'Mapa final'!$P$10),"")</f>
        <v/>
      </c>
      <c r="L27" s="66" t="e">
        <f>IF(AND('Mapa final'!#REF!="Media",'Mapa final'!#REF!="Leve"),CONCATENATE("R2C",'Mapa final'!#REF!),"")</f>
        <v>#REF!</v>
      </c>
      <c r="M27" s="66" t="e">
        <f>IF(AND('Mapa final'!#REF!="Media",'Mapa final'!#REF!="Leve"),CONCATENATE("R2C",'Mapa final'!#REF!),"")</f>
        <v>#REF!</v>
      </c>
      <c r="N27" s="66" t="e">
        <f>IF(AND('Mapa final'!#REF!="Media",'Mapa final'!#REF!="Leve"),CONCATENATE("R2C",'Mapa final'!#REF!),"")</f>
        <v>#REF!</v>
      </c>
      <c r="O27" s="67" t="e">
        <f>IF(AND('Mapa final'!#REF!="Media",'Mapa final'!#REF!="Leve"),CONCATENATE("R2C",'Mapa final'!#REF!),"")</f>
        <v>#REF!</v>
      </c>
      <c r="P27" s="65" t="str">
        <f>IF(AND('Mapa final'!$Z$9="Media",'Mapa final'!$AB$9="Menor"),CONCATENATE("R2C",'Mapa final'!$P$9),"")</f>
        <v/>
      </c>
      <c r="Q27" s="66" t="str">
        <f>IF(AND('Mapa final'!$Z$10="Media",'Mapa final'!$AB$10="Menor"),CONCATENATE("R2C",'Mapa final'!$P$10),"")</f>
        <v/>
      </c>
      <c r="R27" s="66" t="e">
        <f>IF(AND('Mapa final'!#REF!="Media",'Mapa final'!#REF!="Menor"),CONCATENATE("R2C",'Mapa final'!#REF!),"")</f>
        <v>#REF!</v>
      </c>
      <c r="S27" s="66" t="e">
        <f>IF(AND('Mapa final'!#REF!="Media",'Mapa final'!#REF!="Menor"),CONCATENATE("R2C",'Mapa final'!#REF!),"")</f>
        <v>#REF!</v>
      </c>
      <c r="T27" s="66" t="e">
        <f>IF(AND('Mapa final'!#REF!="Media",'Mapa final'!#REF!="Menor"),CONCATENATE("R2C",'Mapa final'!#REF!),"")</f>
        <v>#REF!</v>
      </c>
      <c r="U27" s="67" t="e">
        <f>IF(AND('Mapa final'!#REF!="Media",'Mapa final'!#REF!="Menor"),CONCATENATE("R2C",'Mapa final'!#REF!),"")</f>
        <v>#REF!</v>
      </c>
      <c r="V27" s="65" t="str">
        <f>IF(AND('Mapa final'!$Z$9="Media",'Mapa final'!$AB$9="Moderado"),CONCATENATE("R2C",'Mapa final'!$P$9),"")</f>
        <v/>
      </c>
      <c r="W27" s="66" t="str">
        <f>IF(AND('Mapa final'!$Z$10="Media",'Mapa final'!$AB$10="Moderado"),CONCATENATE("R2C",'Mapa final'!$P$10),"")</f>
        <v/>
      </c>
      <c r="X27" s="66" t="e">
        <f>IF(AND('Mapa final'!#REF!="Media",'Mapa final'!#REF!="Moderado"),CONCATENATE("R2C",'Mapa final'!#REF!),"")</f>
        <v>#REF!</v>
      </c>
      <c r="Y27" s="66" t="e">
        <f>IF(AND('Mapa final'!#REF!="Media",'Mapa final'!#REF!="Moderado"),CONCATENATE("R2C",'Mapa final'!#REF!),"")</f>
        <v>#REF!</v>
      </c>
      <c r="Z27" s="66" t="e">
        <f>IF(AND('Mapa final'!#REF!="Media",'Mapa final'!#REF!="Moderado"),CONCATENATE("R2C",'Mapa final'!#REF!),"")</f>
        <v>#REF!</v>
      </c>
      <c r="AA27" s="67" t="e">
        <f>IF(AND('Mapa final'!#REF!="Media",'Mapa final'!#REF!="Moderado"),CONCATENATE("R2C",'Mapa final'!#REF!),"")</f>
        <v>#REF!</v>
      </c>
      <c r="AB27" s="50" t="str">
        <f>IF(AND('Mapa final'!$Z$9="Media",'Mapa final'!$AB$9="Mayor"),CONCATENATE("R2C",'Mapa final'!$P$9),"")</f>
        <v/>
      </c>
      <c r="AC27" s="51" t="str">
        <f>IF(AND('Mapa final'!$Z$10="Media",'Mapa final'!$AB$10="Mayor"),CONCATENATE("R2C",'Mapa final'!$P$10),"")</f>
        <v/>
      </c>
      <c r="AD27" s="51" t="e">
        <f>IF(AND('Mapa final'!#REF!="Media",'Mapa final'!#REF!="Mayor"),CONCATENATE("R2C",'Mapa final'!#REF!),"")</f>
        <v>#REF!</v>
      </c>
      <c r="AE27" s="51" t="e">
        <f>IF(AND('Mapa final'!#REF!="Media",'Mapa final'!#REF!="Mayor"),CONCATENATE("R2C",'Mapa final'!#REF!),"")</f>
        <v>#REF!</v>
      </c>
      <c r="AF27" s="51" t="e">
        <f>IF(AND('Mapa final'!#REF!="Media",'Mapa final'!#REF!="Mayor"),CONCATENATE("R2C",'Mapa final'!#REF!),"")</f>
        <v>#REF!</v>
      </c>
      <c r="AG27" s="52" t="e">
        <f>IF(AND('Mapa final'!#REF!="Media",'Mapa final'!#REF!="Mayor"),CONCATENATE("R2C",'Mapa final'!#REF!),"")</f>
        <v>#REF!</v>
      </c>
      <c r="AH27" s="53" t="str">
        <f>IF(AND('Mapa final'!$Z$9="Media",'Mapa final'!$AB$9="Catastrófico"),CONCATENATE("R2C",'Mapa final'!$P$9),"")</f>
        <v/>
      </c>
      <c r="AI27" s="54" t="str">
        <f>IF(AND('Mapa final'!$Z$10="Media",'Mapa final'!$AB$10="Catastrófico"),CONCATENATE("R2C",'Mapa final'!$P$10),"")</f>
        <v/>
      </c>
      <c r="AJ27" s="54" t="e">
        <f>IF(AND('Mapa final'!#REF!="Media",'Mapa final'!#REF!="Catastrófico"),CONCATENATE("R2C",'Mapa final'!#REF!),"")</f>
        <v>#REF!</v>
      </c>
      <c r="AK27" s="54" t="e">
        <f>IF(AND('Mapa final'!#REF!="Media",'Mapa final'!#REF!="Catastrófico"),CONCATENATE("R2C",'Mapa final'!#REF!),"")</f>
        <v>#REF!</v>
      </c>
      <c r="AL27" s="54" t="e">
        <f>IF(AND('Mapa final'!#REF!="Media",'Mapa final'!#REF!="Catastrófico"),CONCATENATE("R2C",'Mapa final'!#REF!),"")</f>
        <v>#REF!</v>
      </c>
      <c r="AM27" s="55" t="e">
        <f>IF(AND('Mapa final'!#REF!="Media",'Mapa final'!#REF!="Catastrófico"),CONCATENATE("R2C",'Mapa final'!#REF!),"")</f>
        <v>#REF!</v>
      </c>
      <c r="AN27" s="81"/>
      <c r="AO27" s="418"/>
      <c r="AP27" s="419"/>
      <c r="AQ27" s="419"/>
      <c r="AR27" s="419"/>
      <c r="AS27" s="419"/>
      <c r="AT27" s="420"/>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337"/>
      <c r="C28" s="337"/>
      <c r="D28" s="338"/>
      <c r="E28" s="378"/>
      <c r="F28" s="379"/>
      <c r="G28" s="379"/>
      <c r="H28" s="379"/>
      <c r="I28" s="380"/>
      <c r="J28" s="65" t="str">
        <f>IF(AND('Mapa final'!$Z$11="Media",'Mapa final'!$AB$11="Leve"),CONCATENATE("R3C",'Mapa final'!$P$11),"")</f>
        <v/>
      </c>
      <c r="K28" s="66" t="e">
        <f>IF(AND('Mapa final'!#REF!="Media",'Mapa final'!#REF!="Leve"),CONCATENATE("R3C",'Mapa final'!#REF!),"")</f>
        <v>#REF!</v>
      </c>
      <c r="L28" s="66" t="e">
        <f>IF(AND('Mapa final'!#REF!="Media",'Mapa final'!#REF!="Leve"),CONCATENATE("R3C",'Mapa final'!#REF!),"")</f>
        <v>#REF!</v>
      </c>
      <c r="M28" s="66" t="e">
        <f>IF(AND('Mapa final'!#REF!="Media",'Mapa final'!#REF!="Leve"),CONCATENATE("R3C",'Mapa final'!#REF!),"")</f>
        <v>#REF!</v>
      </c>
      <c r="N28" s="66" t="e">
        <f>IF(AND('Mapa final'!#REF!="Media",'Mapa final'!#REF!="Leve"),CONCATENATE("R3C",'Mapa final'!#REF!),"")</f>
        <v>#REF!</v>
      </c>
      <c r="O28" s="67" t="e">
        <f>IF(AND('Mapa final'!#REF!="Media",'Mapa final'!#REF!="Leve"),CONCATENATE("R3C",'Mapa final'!#REF!),"")</f>
        <v>#REF!</v>
      </c>
      <c r="P28" s="65" t="str">
        <f>IF(AND('Mapa final'!$Z$11="Media",'Mapa final'!$AB$11="Menor"),CONCATENATE("R3C",'Mapa final'!$P$11),"")</f>
        <v/>
      </c>
      <c r="Q28" s="66" t="e">
        <f>IF(AND('Mapa final'!#REF!="Media",'Mapa final'!#REF!="Menor"),CONCATENATE("R3C",'Mapa final'!#REF!),"")</f>
        <v>#REF!</v>
      </c>
      <c r="R28" s="66" t="e">
        <f>IF(AND('Mapa final'!#REF!="Media",'Mapa final'!#REF!="Menor"),CONCATENATE("R3C",'Mapa final'!#REF!),"")</f>
        <v>#REF!</v>
      </c>
      <c r="S28" s="66" t="e">
        <f>IF(AND('Mapa final'!#REF!="Media",'Mapa final'!#REF!="Menor"),CONCATENATE("R3C",'Mapa final'!#REF!),"")</f>
        <v>#REF!</v>
      </c>
      <c r="T28" s="66" t="e">
        <f>IF(AND('Mapa final'!#REF!="Media",'Mapa final'!#REF!="Menor"),CONCATENATE("R3C",'Mapa final'!#REF!),"")</f>
        <v>#REF!</v>
      </c>
      <c r="U28" s="67" t="e">
        <f>IF(AND('Mapa final'!#REF!="Media",'Mapa final'!#REF!="Menor"),CONCATENATE("R3C",'Mapa final'!#REF!),"")</f>
        <v>#REF!</v>
      </c>
      <c r="V28" s="65" t="str">
        <f>IF(AND('Mapa final'!$Z$11="Media",'Mapa final'!$AB$11="Moderado"),CONCATENATE("R3C",'Mapa final'!$P$11),"")</f>
        <v/>
      </c>
      <c r="W28" s="66" t="e">
        <f>IF(AND('Mapa final'!#REF!="Media",'Mapa final'!#REF!="Moderado"),CONCATENATE("R3C",'Mapa final'!#REF!),"")</f>
        <v>#REF!</v>
      </c>
      <c r="X28" s="66" t="e">
        <f>IF(AND('Mapa final'!#REF!="Media",'Mapa final'!#REF!="Moderado"),CONCATENATE("R3C",'Mapa final'!#REF!),"")</f>
        <v>#REF!</v>
      </c>
      <c r="Y28" s="66" t="e">
        <f>IF(AND('Mapa final'!#REF!="Media",'Mapa final'!#REF!="Moderado"),CONCATENATE("R3C",'Mapa final'!#REF!),"")</f>
        <v>#REF!</v>
      </c>
      <c r="Z28" s="66" t="e">
        <f>IF(AND('Mapa final'!#REF!="Media",'Mapa final'!#REF!="Moderado"),CONCATENATE("R3C",'Mapa final'!#REF!),"")</f>
        <v>#REF!</v>
      </c>
      <c r="AA28" s="67" t="e">
        <f>IF(AND('Mapa final'!#REF!="Media",'Mapa final'!#REF!="Moderado"),CONCATENATE("R3C",'Mapa final'!#REF!),"")</f>
        <v>#REF!</v>
      </c>
      <c r="AB28" s="50" t="str">
        <f>IF(AND('Mapa final'!$Z$11="Media",'Mapa final'!$AB$11="Mayor"),CONCATENATE("R3C",'Mapa final'!$P$11),"")</f>
        <v/>
      </c>
      <c r="AC28" s="51" t="e">
        <f>IF(AND('Mapa final'!#REF!="Media",'Mapa final'!#REF!="Mayor"),CONCATENATE("R3C",'Mapa final'!#REF!),"")</f>
        <v>#REF!</v>
      </c>
      <c r="AD28" s="51" t="e">
        <f>IF(AND('Mapa final'!#REF!="Media",'Mapa final'!#REF!="Mayor"),CONCATENATE("R3C",'Mapa final'!#REF!),"")</f>
        <v>#REF!</v>
      </c>
      <c r="AE28" s="51" t="e">
        <f>IF(AND('Mapa final'!#REF!="Media",'Mapa final'!#REF!="Mayor"),CONCATENATE("R3C",'Mapa final'!#REF!),"")</f>
        <v>#REF!</v>
      </c>
      <c r="AF28" s="51" t="e">
        <f>IF(AND('Mapa final'!#REF!="Media",'Mapa final'!#REF!="Mayor"),CONCATENATE("R3C",'Mapa final'!#REF!),"")</f>
        <v>#REF!</v>
      </c>
      <c r="AG28" s="52" t="e">
        <f>IF(AND('Mapa final'!#REF!="Media",'Mapa final'!#REF!="Mayor"),CONCATENATE("R3C",'Mapa final'!#REF!),"")</f>
        <v>#REF!</v>
      </c>
      <c r="AH28" s="53" t="str">
        <f>IF(AND('Mapa final'!$Z$11="Media",'Mapa final'!$AB$11="Catastrófico"),CONCATENATE("R3C",'Mapa final'!$P$11),"")</f>
        <v/>
      </c>
      <c r="AI28" s="54" t="e">
        <f>IF(AND('Mapa final'!#REF!="Media",'Mapa final'!#REF!="Catastrófico"),CONCATENATE("R3C",'Mapa final'!#REF!),"")</f>
        <v>#REF!</v>
      </c>
      <c r="AJ28" s="54" t="e">
        <f>IF(AND('Mapa final'!#REF!="Media",'Mapa final'!#REF!="Catastrófico"),CONCATENATE("R3C",'Mapa final'!#REF!),"")</f>
        <v>#REF!</v>
      </c>
      <c r="AK28" s="54" t="e">
        <f>IF(AND('Mapa final'!#REF!="Media",'Mapa final'!#REF!="Catastrófico"),CONCATENATE("R3C",'Mapa final'!#REF!),"")</f>
        <v>#REF!</v>
      </c>
      <c r="AL28" s="54" t="e">
        <f>IF(AND('Mapa final'!#REF!="Media",'Mapa final'!#REF!="Catastrófico"),CONCATENATE("R3C",'Mapa final'!#REF!),"")</f>
        <v>#REF!</v>
      </c>
      <c r="AM28" s="55" t="e">
        <f>IF(AND('Mapa final'!#REF!="Media",'Mapa final'!#REF!="Catastrófico"),CONCATENATE("R3C",'Mapa final'!#REF!),"")</f>
        <v>#REF!</v>
      </c>
      <c r="AN28" s="81"/>
      <c r="AO28" s="418"/>
      <c r="AP28" s="419"/>
      <c r="AQ28" s="419"/>
      <c r="AR28" s="419"/>
      <c r="AS28" s="419"/>
      <c r="AT28" s="420"/>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337"/>
      <c r="C29" s="337"/>
      <c r="D29" s="338"/>
      <c r="E29" s="378"/>
      <c r="F29" s="379"/>
      <c r="G29" s="379"/>
      <c r="H29" s="379"/>
      <c r="I29" s="380"/>
      <c r="J29" s="65" t="str">
        <f>IF(AND('Mapa final'!$Z$12="Media",'Mapa final'!$AB$12="Leve"),CONCATENATE("R4C",'Mapa final'!$P$12),"")</f>
        <v/>
      </c>
      <c r="K29" s="66" t="e">
        <f>IF(AND('Mapa final'!#REF!="Media",'Mapa final'!#REF!="Leve"),CONCATENATE("R4C",'Mapa final'!#REF!),"")</f>
        <v>#REF!</v>
      </c>
      <c r="L29" s="66" t="e">
        <f>IF(AND('Mapa final'!#REF!="Media",'Mapa final'!#REF!="Leve"),CONCATENATE("R4C",'Mapa final'!#REF!),"")</f>
        <v>#REF!</v>
      </c>
      <c r="M29" s="66" t="e">
        <f>IF(AND('Mapa final'!#REF!="Media",'Mapa final'!#REF!="Leve"),CONCATENATE("R4C",'Mapa final'!#REF!),"")</f>
        <v>#REF!</v>
      </c>
      <c r="N29" s="66" t="e">
        <f>IF(AND('Mapa final'!#REF!="Media",'Mapa final'!#REF!="Leve"),CONCATENATE("R4C",'Mapa final'!#REF!),"")</f>
        <v>#REF!</v>
      </c>
      <c r="O29" s="67" t="e">
        <f>IF(AND('Mapa final'!#REF!="Media",'Mapa final'!#REF!="Leve"),CONCATENATE("R4C",'Mapa final'!#REF!),"")</f>
        <v>#REF!</v>
      </c>
      <c r="P29" s="65" t="str">
        <f>IF(AND('Mapa final'!$Z$12="Media",'Mapa final'!$AB$12="Menor"),CONCATENATE("R4C",'Mapa final'!$P$12),"")</f>
        <v/>
      </c>
      <c r="Q29" s="66" t="e">
        <f>IF(AND('Mapa final'!#REF!="Media",'Mapa final'!#REF!="Menor"),CONCATENATE("R4C",'Mapa final'!#REF!),"")</f>
        <v>#REF!</v>
      </c>
      <c r="R29" s="66" t="e">
        <f>IF(AND('Mapa final'!#REF!="Media",'Mapa final'!#REF!="Menor"),CONCATENATE("R4C",'Mapa final'!#REF!),"")</f>
        <v>#REF!</v>
      </c>
      <c r="S29" s="66" t="e">
        <f>IF(AND('Mapa final'!#REF!="Media",'Mapa final'!#REF!="Menor"),CONCATENATE("R4C",'Mapa final'!#REF!),"")</f>
        <v>#REF!</v>
      </c>
      <c r="T29" s="66" t="e">
        <f>IF(AND('Mapa final'!#REF!="Media",'Mapa final'!#REF!="Menor"),CONCATENATE("R4C",'Mapa final'!#REF!),"")</f>
        <v>#REF!</v>
      </c>
      <c r="U29" s="67" t="e">
        <f>IF(AND('Mapa final'!#REF!="Media",'Mapa final'!#REF!="Menor"),CONCATENATE("R4C",'Mapa final'!#REF!),"")</f>
        <v>#REF!</v>
      </c>
      <c r="V29" s="65" t="str">
        <f>IF(AND('Mapa final'!$Z$12="Media",'Mapa final'!$AB$12="Moderado"),CONCATENATE("R4C",'Mapa final'!$P$12),"")</f>
        <v/>
      </c>
      <c r="W29" s="66" t="e">
        <f>IF(AND('Mapa final'!#REF!="Media",'Mapa final'!#REF!="Moderado"),CONCATENATE("R4C",'Mapa final'!#REF!),"")</f>
        <v>#REF!</v>
      </c>
      <c r="X29" s="66" t="e">
        <f>IF(AND('Mapa final'!#REF!="Media",'Mapa final'!#REF!="Moderado"),CONCATENATE("R4C",'Mapa final'!#REF!),"")</f>
        <v>#REF!</v>
      </c>
      <c r="Y29" s="66" t="e">
        <f>IF(AND('Mapa final'!#REF!="Media",'Mapa final'!#REF!="Moderado"),CONCATENATE("R4C",'Mapa final'!#REF!),"")</f>
        <v>#REF!</v>
      </c>
      <c r="Z29" s="66" t="e">
        <f>IF(AND('Mapa final'!#REF!="Media",'Mapa final'!#REF!="Moderado"),CONCATENATE("R4C",'Mapa final'!#REF!),"")</f>
        <v>#REF!</v>
      </c>
      <c r="AA29" s="67" t="e">
        <f>IF(AND('Mapa final'!#REF!="Media",'Mapa final'!#REF!="Moderado"),CONCATENATE("R4C",'Mapa final'!#REF!),"")</f>
        <v>#REF!</v>
      </c>
      <c r="AB29" s="50" t="str">
        <f>IF(AND('Mapa final'!$Z$12="Media",'Mapa final'!$AB$12="Mayor"),CONCATENATE("R4C",'Mapa final'!$P$12),"")</f>
        <v/>
      </c>
      <c r="AC29" s="51" t="e">
        <f>IF(AND('Mapa final'!#REF!="Media",'Mapa final'!#REF!="Mayor"),CONCATENATE("R4C",'Mapa final'!#REF!),"")</f>
        <v>#REF!</v>
      </c>
      <c r="AD29" s="51" t="e">
        <f>IF(AND('Mapa final'!#REF!="Media",'Mapa final'!#REF!="Mayor"),CONCATENATE("R4C",'Mapa final'!#REF!),"")</f>
        <v>#REF!</v>
      </c>
      <c r="AE29" s="51" t="e">
        <f>IF(AND('Mapa final'!#REF!="Media",'Mapa final'!#REF!="Mayor"),CONCATENATE("R4C",'Mapa final'!#REF!),"")</f>
        <v>#REF!</v>
      </c>
      <c r="AF29" s="51" t="e">
        <f>IF(AND('Mapa final'!#REF!="Media",'Mapa final'!#REF!="Mayor"),CONCATENATE("R4C",'Mapa final'!#REF!),"")</f>
        <v>#REF!</v>
      </c>
      <c r="AG29" s="52" t="e">
        <f>IF(AND('Mapa final'!#REF!="Media",'Mapa final'!#REF!="Mayor"),CONCATENATE("R4C",'Mapa final'!#REF!),"")</f>
        <v>#REF!</v>
      </c>
      <c r="AH29" s="53" t="str">
        <f>IF(AND('Mapa final'!$Z$12="Media",'Mapa final'!$AB$12="Catastrófico"),CONCATENATE("R4C",'Mapa final'!$P$12),"")</f>
        <v/>
      </c>
      <c r="AI29" s="54" t="e">
        <f>IF(AND('Mapa final'!#REF!="Media",'Mapa final'!#REF!="Catastrófico"),CONCATENATE("R4C",'Mapa final'!#REF!),"")</f>
        <v>#REF!</v>
      </c>
      <c r="AJ29" s="54" t="e">
        <f>IF(AND('Mapa final'!#REF!="Media",'Mapa final'!#REF!="Catastrófico"),CONCATENATE("R4C",'Mapa final'!#REF!),"")</f>
        <v>#REF!</v>
      </c>
      <c r="AK29" s="54" t="e">
        <f>IF(AND('Mapa final'!#REF!="Media",'Mapa final'!#REF!="Catastrófico"),CONCATENATE("R4C",'Mapa final'!#REF!),"")</f>
        <v>#REF!</v>
      </c>
      <c r="AL29" s="54" t="e">
        <f>IF(AND('Mapa final'!#REF!="Media",'Mapa final'!#REF!="Catastrófico"),CONCATENATE("R4C",'Mapa final'!#REF!),"")</f>
        <v>#REF!</v>
      </c>
      <c r="AM29" s="55" t="e">
        <f>IF(AND('Mapa final'!#REF!="Media",'Mapa final'!#REF!="Catastrófico"),CONCATENATE("R4C",'Mapa final'!#REF!),"")</f>
        <v>#REF!</v>
      </c>
      <c r="AN29" s="81"/>
      <c r="AO29" s="418"/>
      <c r="AP29" s="419"/>
      <c r="AQ29" s="419"/>
      <c r="AR29" s="419"/>
      <c r="AS29" s="419"/>
      <c r="AT29" s="420"/>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337"/>
      <c r="C30" s="337"/>
      <c r="D30" s="338"/>
      <c r="E30" s="378"/>
      <c r="F30" s="379"/>
      <c r="G30" s="379"/>
      <c r="H30" s="379"/>
      <c r="I30" s="380"/>
      <c r="J30" s="65" t="str">
        <f>IF(AND('Mapa final'!$Z$13="Media",'Mapa final'!$AB$13="Leve"),CONCATENATE("R5C",'Mapa final'!$P$13),"")</f>
        <v/>
      </c>
      <c r="K30" s="66" t="str">
        <f>IF(AND('Mapa final'!$Z$14="Media",'Mapa final'!$AB$14="Leve"),CONCATENATE("R5C",'Mapa final'!$P$14),"")</f>
        <v/>
      </c>
      <c r="L30" s="66" t="e">
        <f>IF(AND('Mapa final'!#REF!="Media",'Mapa final'!#REF!="Leve"),CONCATENATE("R5C",'Mapa final'!#REF!),"")</f>
        <v>#REF!</v>
      </c>
      <c r="M30" s="66" t="e">
        <f>IF(AND('Mapa final'!#REF!="Media",'Mapa final'!#REF!="Leve"),CONCATENATE("R5C",'Mapa final'!#REF!),"")</f>
        <v>#REF!</v>
      </c>
      <c r="N30" s="66" t="e">
        <f>IF(AND('Mapa final'!#REF!="Media",'Mapa final'!#REF!="Leve"),CONCATENATE("R5C",'Mapa final'!#REF!),"")</f>
        <v>#REF!</v>
      </c>
      <c r="O30" s="67" t="e">
        <f>IF(AND('Mapa final'!#REF!="Media",'Mapa final'!#REF!="Leve"),CONCATENATE("R5C",'Mapa final'!#REF!),"")</f>
        <v>#REF!</v>
      </c>
      <c r="P30" s="65" t="str">
        <f>IF(AND('Mapa final'!$Z$13="Media",'Mapa final'!$AB$13="Menor"),CONCATENATE("R5C",'Mapa final'!$P$13),"")</f>
        <v/>
      </c>
      <c r="Q30" s="66" t="str">
        <f>IF(AND('Mapa final'!$Z$14="Media",'Mapa final'!$AB$14="Menor"),CONCATENATE("R5C",'Mapa final'!$P$14),"")</f>
        <v/>
      </c>
      <c r="R30" s="66" t="e">
        <f>IF(AND('Mapa final'!#REF!="Media",'Mapa final'!#REF!="Menor"),CONCATENATE("R5C",'Mapa final'!#REF!),"")</f>
        <v>#REF!</v>
      </c>
      <c r="S30" s="66" t="e">
        <f>IF(AND('Mapa final'!#REF!="Media",'Mapa final'!#REF!="Menor"),CONCATENATE("R5C",'Mapa final'!#REF!),"")</f>
        <v>#REF!</v>
      </c>
      <c r="T30" s="66" t="e">
        <f>IF(AND('Mapa final'!#REF!="Media",'Mapa final'!#REF!="Menor"),CONCATENATE("R5C",'Mapa final'!#REF!),"")</f>
        <v>#REF!</v>
      </c>
      <c r="U30" s="67" t="e">
        <f>IF(AND('Mapa final'!#REF!="Media",'Mapa final'!#REF!="Menor"),CONCATENATE("R5C",'Mapa final'!#REF!),"")</f>
        <v>#REF!</v>
      </c>
      <c r="V30" s="65" t="str">
        <f>IF(AND('Mapa final'!$Z$13="Media",'Mapa final'!$AB$13="Moderado"),CONCATENATE("R5C",'Mapa final'!$P$13),"")</f>
        <v/>
      </c>
      <c r="W30" s="66" t="str">
        <f>IF(AND('Mapa final'!$Z$14="Media",'Mapa final'!$AB$14="Moderado"),CONCATENATE("R5C",'Mapa final'!$P$14),"")</f>
        <v/>
      </c>
      <c r="X30" s="66" t="e">
        <f>IF(AND('Mapa final'!#REF!="Media",'Mapa final'!#REF!="Moderado"),CONCATENATE("R5C",'Mapa final'!#REF!),"")</f>
        <v>#REF!</v>
      </c>
      <c r="Y30" s="66" t="e">
        <f>IF(AND('Mapa final'!#REF!="Media",'Mapa final'!#REF!="Moderado"),CONCATENATE("R5C",'Mapa final'!#REF!),"")</f>
        <v>#REF!</v>
      </c>
      <c r="Z30" s="66" t="e">
        <f>IF(AND('Mapa final'!#REF!="Media",'Mapa final'!#REF!="Moderado"),CONCATENATE("R5C",'Mapa final'!#REF!),"")</f>
        <v>#REF!</v>
      </c>
      <c r="AA30" s="67" t="e">
        <f>IF(AND('Mapa final'!#REF!="Media",'Mapa final'!#REF!="Moderado"),CONCATENATE("R5C",'Mapa final'!#REF!),"")</f>
        <v>#REF!</v>
      </c>
      <c r="AB30" s="50" t="str">
        <f>IF(AND('Mapa final'!$Z$13="Media",'Mapa final'!$AB$13="Mayor"),CONCATENATE("R5C",'Mapa final'!$P$13),"")</f>
        <v/>
      </c>
      <c r="AC30" s="51" t="str">
        <f>IF(AND('Mapa final'!$Z$14="Media",'Mapa final'!$AB$14="Mayor"),CONCATENATE("R5C",'Mapa final'!$P$14),"")</f>
        <v/>
      </c>
      <c r="AD30" s="51" t="e">
        <f>IF(AND('Mapa final'!#REF!="Media",'Mapa final'!#REF!="Mayor"),CONCATENATE("R5C",'Mapa final'!#REF!),"")</f>
        <v>#REF!</v>
      </c>
      <c r="AE30" s="51" t="e">
        <f>IF(AND('Mapa final'!#REF!="Media",'Mapa final'!#REF!="Mayor"),CONCATENATE("R5C",'Mapa final'!#REF!),"")</f>
        <v>#REF!</v>
      </c>
      <c r="AF30" s="51" t="e">
        <f>IF(AND('Mapa final'!#REF!="Media",'Mapa final'!#REF!="Mayor"),CONCATENATE("R5C",'Mapa final'!#REF!),"")</f>
        <v>#REF!</v>
      </c>
      <c r="AG30" s="52" t="e">
        <f>IF(AND('Mapa final'!#REF!="Media",'Mapa final'!#REF!="Mayor"),CONCATENATE("R5C",'Mapa final'!#REF!),"")</f>
        <v>#REF!</v>
      </c>
      <c r="AH30" s="53" t="str">
        <f>IF(AND('Mapa final'!$Z$13="Media",'Mapa final'!$AB$13="Catastrófico"),CONCATENATE("R5C",'Mapa final'!$P$13),"")</f>
        <v/>
      </c>
      <c r="AI30" s="54" t="str">
        <f>IF(AND('Mapa final'!$Z$14="Media",'Mapa final'!$AB$14="Catastrófico"),CONCATENATE("R5C",'Mapa final'!$P$14),"")</f>
        <v/>
      </c>
      <c r="AJ30" s="54" t="e">
        <f>IF(AND('Mapa final'!#REF!="Media",'Mapa final'!#REF!="Catastrófico"),CONCATENATE("R5C",'Mapa final'!#REF!),"")</f>
        <v>#REF!</v>
      </c>
      <c r="AK30" s="54" t="e">
        <f>IF(AND('Mapa final'!#REF!="Media",'Mapa final'!#REF!="Catastrófico"),CONCATENATE("R5C",'Mapa final'!#REF!),"")</f>
        <v>#REF!</v>
      </c>
      <c r="AL30" s="54" t="e">
        <f>IF(AND('Mapa final'!#REF!="Media",'Mapa final'!#REF!="Catastrófico"),CONCATENATE("R5C",'Mapa final'!#REF!),"")</f>
        <v>#REF!</v>
      </c>
      <c r="AM30" s="55" t="e">
        <f>IF(AND('Mapa final'!#REF!="Media",'Mapa final'!#REF!="Catastrófico"),CONCATENATE("R5C",'Mapa final'!#REF!),"")</f>
        <v>#REF!</v>
      </c>
      <c r="AN30" s="81"/>
      <c r="AO30" s="418"/>
      <c r="AP30" s="419"/>
      <c r="AQ30" s="419"/>
      <c r="AR30" s="419"/>
      <c r="AS30" s="419"/>
      <c r="AT30" s="420"/>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337"/>
      <c r="C31" s="337"/>
      <c r="D31" s="338"/>
      <c r="E31" s="378"/>
      <c r="F31" s="379"/>
      <c r="G31" s="379"/>
      <c r="H31" s="379"/>
      <c r="I31" s="380"/>
      <c r="J31" s="65" t="str">
        <f>IF(AND('Mapa final'!$Z$15="Media",'Mapa final'!$AB$15="Leve"),CONCATENATE("R6C",'Mapa final'!$P$15),"")</f>
        <v/>
      </c>
      <c r="K31" s="66" t="str">
        <f>IF(AND('Mapa final'!$Z$16="Media",'Mapa final'!$AB$16="Leve"),CONCATENATE("R6C",'Mapa final'!$P$16),"")</f>
        <v/>
      </c>
      <c r="L31" s="66" t="str">
        <f>IF(AND('Mapa final'!$Z$17="Media",'Mapa final'!$AB$17="Leve"),CONCATENATE("R6C",'Mapa final'!$P$17),"")</f>
        <v/>
      </c>
      <c r="M31" s="66" t="e">
        <f>IF(AND('Mapa final'!#REF!="Media",'Mapa final'!#REF!="Leve"),CONCATENATE("R6C",'Mapa final'!#REF!),"")</f>
        <v>#REF!</v>
      </c>
      <c r="N31" s="66" t="e">
        <f>IF(AND('Mapa final'!#REF!="Media",'Mapa final'!#REF!="Leve"),CONCATENATE("R6C",'Mapa final'!#REF!),"")</f>
        <v>#REF!</v>
      </c>
      <c r="O31" s="67" t="e">
        <f>IF(AND('Mapa final'!#REF!="Media",'Mapa final'!#REF!="Leve"),CONCATENATE("R6C",'Mapa final'!#REF!),"")</f>
        <v>#REF!</v>
      </c>
      <c r="P31" s="65" t="str">
        <f>IF(AND('Mapa final'!$Z$15="Media",'Mapa final'!$AB$15="Menor"),CONCATENATE("R6C",'Mapa final'!$P$15),"")</f>
        <v/>
      </c>
      <c r="Q31" s="66" t="str">
        <f>IF(AND('Mapa final'!$Z$16="Media",'Mapa final'!$AB$16="Menor"),CONCATENATE("R6C",'Mapa final'!$P$16),"")</f>
        <v/>
      </c>
      <c r="R31" s="66" t="str">
        <f>IF(AND('Mapa final'!$Z$17="Media",'Mapa final'!$AB$17="Menor"),CONCATENATE("R6C",'Mapa final'!$P$17),"")</f>
        <v/>
      </c>
      <c r="S31" s="66" t="e">
        <f>IF(AND('Mapa final'!#REF!="Media",'Mapa final'!#REF!="Menor"),CONCATENATE("R6C",'Mapa final'!#REF!),"")</f>
        <v>#REF!</v>
      </c>
      <c r="T31" s="66" t="e">
        <f>IF(AND('Mapa final'!#REF!="Media",'Mapa final'!#REF!="Menor"),CONCATENATE("R6C",'Mapa final'!#REF!),"")</f>
        <v>#REF!</v>
      </c>
      <c r="U31" s="67" t="e">
        <f>IF(AND('Mapa final'!#REF!="Media",'Mapa final'!#REF!="Menor"),CONCATENATE("R6C",'Mapa final'!#REF!),"")</f>
        <v>#REF!</v>
      </c>
      <c r="V31" s="65" t="str">
        <f>IF(AND('Mapa final'!$Z$15="Media",'Mapa final'!$AB$15="Moderado"),CONCATENATE("R6C",'Mapa final'!$P$15),"")</f>
        <v/>
      </c>
      <c r="W31" s="66" t="str">
        <f>IF(AND('Mapa final'!$Z$16="Media",'Mapa final'!$AB$16="Moderado"),CONCATENATE("R6C",'Mapa final'!$P$16),"")</f>
        <v/>
      </c>
      <c r="X31" s="66" t="str">
        <f>IF(AND('Mapa final'!$Z$17="Media",'Mapa final'!$AB$17="Moderado"),CONCATENATE("R6C",'Mapa final'!$P$17),"")</f>
        <v/>
      </c>
      <c r="Y31" s="66" t="e">
        <f>IF(AND('Mapa final'!#REF!="Media",'Mapa final'!#REF!="Moderado"),CONCATENATE("R6C",'Mapa final'!#REF!),"")</f>
        <v>#REF!</v>
      </c>
      <c r="Z31" s="66" t="e">
        <f>IF(AND('Mapa final'!#REF!="Media",'Mapa final'!#REF!="Moderado"),CONCATENATE("R6C",'Mapa final'!#REF!),"")</f>
        <v>#REF!</v>
      </c>
      <c r="AA31" s="67" t="e">
        <f>IF(AND('Mapa final'!#REF!="Media",'Mapa final'!#REF!="Moderado"),CONCATENATE("R6C",'Mapa final'!#REF!),"")</f>
        <v>#REF!</v>
      </c>
      <c r="AB31" s="50" t="str">
        <f>IF(AND('Mapa final'!$Z$15="Media",'Mapa final'!$AB$15="Mayor"),CONCATENATE("R6C",'Mapa final'!$P$15),"")</f>
        <v/>
      </c>
      <c r="AC31" s="51" t="str">
        <f>IF(AND('Mapa final'!$Z$16="Media",'Mapa final'!$AB$16="Mayor"),CONCATENATE("R6C",'Mapa final'!$P$16),"")</f>
        <v/>
      </c>
      <c r="AD31" s="51" t="str">
        <f>IF(AND('Mapa final'!$Z$17="Media",'Mapa final'!$AB$17="Mayor"),CONCATENATE("R6C",'Mapa final'!$P$17),"")</f>
        <v/>
      </c>
      <c r="AE31" s="51" t="e">
        <f>IF(AND('Mapa final'!#REF!="Media",'Mapa final'!#REF!="Mayor"),CONCATENATE("R6C",'Mapa final'!#REF!),"")</f>
        <v>#REF!</v>
      </c>
      <c r="AF31" s="51" t="e">
        <f>IF(AND('Mapa final'!#REF!="Media",'Mapa final'!#REF!="Mayor"),CONCATENATE("R6C",'Mapa final'!#REF!),"")</f>
        <v>#REF!</v>
      </c>
      <c r="AG31" s="52" t="e">
        <f>IF(AND('Mapa final'!#REF!="Media",'Mapa final'!#REF!="Mayor"),CONCATENATE("R6C",'Mapa final'!#REF!),"")</f>
        <v>#REF!</v>
      </c>
      <c r="AH31" s="53" t="str">
        <f>IF(AND('Mapa final'!$Z$15="Media",'Mapa final'!$AB$15="Catastrófico"),CONCATENATE("R6C",'Mapa final'!$P$15),"")</f>
        <v/>
      </c>
      <c r="AI31" s="54" t="str">
        <f>IF(AND('Mapa final'!$Z$16="Media",'Mapa final'!$AB$16="Catastrófico"),CONCATENATE("R6C",'Mapa final'!$P$16),"")</f>
        <v/>
      </c>
      <c r="AJ31" s="54" t="str">
        <f>IF(AND('Mapa final'!$Z$17="Media",'Mapa final'!$AB$17="Catastrófico"),CONCATENATE("R6C",'Mapa final'!$P$17),"")</f>
        <v/>
      </c>
      <c r="AK31" s="54" t="e">
        <f>IF(AND('Mapa final'!#REF!="Media",'Mapa final'!#REF!="Catastrófico"),CONCATENATE("R6C",'Mapa final'!#REF!),"")</f>
        <v>#REF!</v>
      </c>
      <c r="AL31" s="54" t="e">
        <f>IF(AND('Mapa final'!#REF!="Media",'Mapa final'!#REF!="Catastrófico"),CONCATENATE("R6C",'Mapa final'!#REF!),"")</f>
        <v>#REF!</v>
      </c>
      <c r="AM31" s="55" t="e">
        <f>IF(AND('Mapa final'!#REF!="Media",'Mapa final'!#REF!="Catastrófico"),CONCATENATE("R6C",'Mapa final'!#REF!),"")</f>
        <v>#REF!</v>
      </c>
      <c r="AN31" s="81"/>
      <c r="AO31" s="418"/>
      <c r="AP31" s="419"/>
      <c r="AQ31" s="419"/>
      <c r="AR31" s="419"/>
      <c r="AS31" s="419"/>
      <c r="AT31" s="420"/>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337"/>
      <c r="C32" s="337"/>
      <c r="D32" s="338"/>
      <c r="E32" s="378"/>
      <c r="F32" s="379"/>
      <c r="G32" s="379"/>
      <c r="H32" s="379"/>
      <c r="I32" s="380"/>
      <c r="J32" s="65" t="str">
        <f>IF(AND('Mapa final'!$Z$18="Media",'Mapa final'!$AB$18="Leve"),CONCATENATE("R7C",'Mapa final'!$P$18),"")</f>
        <v/>
      </c>
      <c r="K32" s="66" t="str">
        <f>IF(AND('Mapa final'!$Z$19="Media",'Mapa final'!$AB$19="Leve"),CONCATENATE("R7C",'Mapa final'!$P$19),"")</f>
        <v/>
      </c>
      <c r="L32" s="66" t="e">
        <f>IF(AND('Mapa final'!#REF!="Media",'Mapa final'!#REF!="Leve"),CONCATENATE("R7C",'Mapa final'!#REF!),"")</f>
        <v>#REF!</v>
      </c>
      <c r="M32" s="66" t="e">
        <f>IF(AND('Mapa final'!#REF!="Media",'Mapa final'!#REF!="Leve"),CONCATENATE("R7C",'Mapa final'!#REF!),"")</f>
        <v>#REF!</v>
      </c>
      <c r="N32" s="66" t="e">
        <f>IF(AND('Mapa final'!#REF!="Media",'Mapa final'!#REF!="Leve"),CONCATENATE("R7C",'Mapa final'!#REF!),"")</f>
        <v>#REF!</v>
      </c>
      <c r="O32" s="67" t="e">
        <f>IF(AND('Mapa final'!#REF!="Media",'Mapa final'!#REF!="Leve"),CONCATENATE("R7C",'Mapa final'!#REF!),"")</f>
        <v>#REF!</v>
      </c>
      <c r="P32" s="65" t="str">
        <f>IF(AND('Mapa final'!$Z$18="Media",'Mapa final'!$AB$18="Menor"),CONCATENATE("R7C",'Mapa final'!$P$18),"")</f>
        <v/>
      </c>
      <c r="Q32" s="66" t="str">
        <f>IF(AND('Mapa final'!$Z$19="Media",'Mapa final'!$AB$19="Menor"),CONCATENATE("R7C",'Mapa final'!$P$19),"")</f>
        <v/>
      </c>
      <c r="R32" s="66" t="e">
        <f>IF(AND('Mapa final'!#REF!="Media",'Mapa final'!#REF!="Menor"),CONCATENATE("R7C",'Mapa final'!#REF!),"")</f>
        <v>#REF!</v>
      </c>
      <c r="S32" s="66" t="e">
        <f>IF(AND('Mapa final'!#REF!="Media",'Mapa final'!#REF!="Menor"),CONCATENATE("R7C",'Mapa final'!#REF!),"")</f>
        <v>#REF!</v>
      </c>
      <c r="T32" s="66" t="e">
        <f>IF(AND('Mapa final'!#REF!="Media",'Mapa final'!#REF!="Menor"),CONCATENATE("R7C",'Mapa final'!#REF!),"")</f>
        <v>#REF!</v>
      </c>
      <c r="U32" s="67" t="e">
        <f>IF(AND('Mapa final'!#REF!="Media",'Mapa final'!#REF!="Menor"),CONCATENATE("R7C",'Mapa final'!#REF!),"")</f>
        <v>#REF!</v>
      </c>
      <c r="V32" s="65" t="str">
        <f>IF(AND('Mapa final'!$Z$18="Media",'Mapa final'!$AB$18="Moderado"),CONCATENATE("R7C",'Mapa final'!$P$18),"")</f>
        <v/>
      </c>
      <c r="W32" s="66" t="str">
        <f>IF(AND('Mapa final'!$Z$19="Media",'Mapa final'!$AB$19="Moderado"),CONCATENATE("R7C",'Mapa final'!$P$19),"")</f>
        <v/>
      </c>
      <c r="X32" s="66" t="e">
        <f>IF(AND('Mapa final'!#REF!="Media",'Mapa final'!#REF!="Moderado"),CONCATENATE("R7C",'Mapa final'!#REF!),"")</f>
        <v>#REF!</v>
      </c>
      <c r="Y32" s="66" t="e">
        <f>IF(AND('Mapa final'!#REF!="Media",'Mapa final'!#REF!="Moderado"),CONCATENATE("R7C",'Mapa final'!#REF!),"")</f>
        <v>#REF!</v>
      </c>
      <c r="Z32" s="66" t="e">
        <f>IF(AND('Mapa final'!#REF!="Media",'Mapa final'!#REF!="Moderado"),CONCATENATE("R7C",'Mapa final'!#REF!),"")</f>
        <v>#REF!</v>
      </c>
      <c r="AA32" s="67" t="e">
        <f>IF(AND('Mapa final'!#REF!="Media",'Mapa final'!#REF!="Moderado"),CONCATENATE("R7C",'Mapa final'!#REF!),"")</f>
        <v>#REF!</v>
      </c>
      <c r="AB32" s="50" t="str">
        <f>IF(AND('Mapa final'!$Z$18="Media",'Mapa final'!$AB$18="Mayor"),CONCATENATE("R7C",'Mapa final'!$P$18),"")</f>
        <v/>
      </c>
      <c r="AC32" s="51" t="str">
        <f>IF(AND('Mapa final'!$Z$19="Media",'Mapa final'!$AB$19="Mayor"),CONCATENATE("R7C",'Mapa final'!$P$19),"")</f>
        <v/>
      </c>
      <c r="AD32" s="51" t="e">
        <f>IF(AND('Mapa final'!#REF!="Media",'Mapa final'!#REF!="Mayor"),CONCATENATE("R7C",'Mapa final'!#REF!),"")</f>
        <v>#REF!</v>
      </c>
      <c r="AE32" s="51" t="e">
        <f>IF(AND('Mapa final'!#REF!="Media",'Mapa final'!#REF!="Mayor"),CONCATENATE("R7C",'Mapa final'!#REF!),"")</f>
        <v>#REF!</v>
      </c>
      <c r="AF32" s="51" t="e">
        <f>IF(AND('Mapa final'!#REF!="Media",'Mapa final'!#REF!="Mayor"),CONCATENATE("R7C",'Mapa final'!#REF!),"")</f>
        <v>#REF!</v>
      </c>
      <c r="AG32" s="52" t="e">
        <f>IF(AND('Mapa final'!#REF!="Media",'Mapa final'!#REF!="Mayor"),CONCATENATE("R7C",'Mapa final'!#REF!),"")</f>
        <v>#REF!</v>
      </c>
      <c r="AH32" s="53" t="str">
        <f>IF(AND('Mapa final'!$Z$18="Media",'Mapa final'!$AB$18="Catastrófico"),CONCATENATE("R7C",'Mapa final'!$P$18),"")</f>
        <v/>
      </c>
      <c r="AI32" s="54" t="str">
        <f>IF(AND('Mapa final'!$Z$19="Media",'Mapa final'!$AB$19="Catastrófico"),CONCATENATE("R7C",'Mapa final'!$P$19),"")</f>
        <v/>
      </c>
      <c r="AJ32" s="54" t="e">
        <f>IF(AND('Mapa final'!#REF!="Media",'Mapa final'!#REF!="Catastrófico"),CONCATENATE("R7C",'Mapa final'!#REF!),"")</f>
        <v>#REF!</v>
      </c>
      <c r="AK32" s="54" t="e">
        <f>IF(AND('Mapa final'!#REF!="Media",'Mapa final'!#REF!="Catastrófico"),CONCATENATE("R7C",'Mapa final'!#REF!),"")</f>
        <v>#REF!</v>
      </c>
      <c r="AL32" s="54" t="e">
        <f>IF(AND('Mapa final'!#REF!="Media",'Mapa final'!#REF!="Catastrófico"),CONCATENATE("R7C",'Mapa final'!#REF!),"")</f>
        <v>#REF!</v>
      </c>
      <c r="AM32" s="55" t="e">
        <f>IF(AND('Mapa final'!#REF!="Media",'Mapa final'!#REF!="Catastrófico"),CONCATENATE("R7C",'Mapa final'!#REF!),"")</f>
        <v>#REF!</v>
      </c>
      <c r="AN32" s="81"/>
      <c r="AO32" s="418"/>
      <c r="AP32" s="419"/>
      <c r="AQ32" s="419"/>
      <c r="AR32" s="419"/>
      <c r="AS32" s="419"/>
      <c r="AT32" s="420"/>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337"/>
      <c r="C33" s="337"/>
      <c r="D33" s="338"/>
      <c r="E33" s="378"/>
      <c r="F33" s="379"/>
      <c r="G33" s="379"/>
      <c r="H33" s="379"/>
      <c r="I33" s="380"/>
      <c r="J33" s="65" t="str">
        <f>IF(AND('Mapa final'!$Z$20="Media",'Mapa final'!$AB$20="Leve"),CONCATENATE("R8C",'Mapa final'!$P$20),"")</f>
        <v>R8C1</v>
      </c>
      <c r="K33" s="66" t="str">
        <f>IF(AND('Mapa final'!$Z$21="Media",'Mapa final'!$AB$21="Leve"),CONCATENATE("R8C",'Mapa final'!$P$21),"")</f>
        <v/>
      </c>
      <c r="L33" s="66" t="e">
        <f>IF(AND('Mapa final'!#REF!="Media",'Mapa final'!#REF!="Leve"),CONCATENATE("R8C",'Mapa final'!#REF!),"")</f>
        <v>#REF!</v>
      </c>
      <c r="M33" s="66" t="e">
        <f>IF(AND('Mapa final'!#REF!="Media",'Mapa final'!#REF!="Leve"),CONCATENATE("R8C",'Mapa final'!#REF!),"")</f>
        <v>#REF!</v>
      </c>
      <c r="N33" s="66" t="e">
        <f>IF(AND('Mapa final'!#REF!="Media",'Mapa final'!#REF!="Leve"),CONCATENATE("R8C",'Mapa final'!#REF!),"")</f>
        <v>#REF!</v>
      </c>
      <c r="O33" s="67" t="e">
        <f>IF(AND('Mapa final'!#REF!="Media",'Mapa final'!#REF!="Leve"),CONCATENATE("R8C",'Mapa final'!#REF!),"")</f>
        <v>#REF!</v>
      </c>
      <c r="P33" s="65" t="str">
        <f>IF(AND('Mapa final'!$Z$20="Media",'Mapa final'!$AB$20="Menor"),CONCATENATE("R8C",'Mapa final'!$P$20),"")</f>
        <v/>
      </c>
      <c r="Q33" s="66" t="str">
        <f>IF(AND('Mapa final'!$Z$21="Media",'Mapa final'!$AB$21="Menor"),CONCATENATE("R8C",'Mapa final'!$P$21),"")</f>
        <v/>
      </c>
      <c r="R33" s="66" t="e">
        <f>IF(AND('Mapa final'!#REF!="Media",'Mapa final'!#REF!="Menor"),CONCATENATE("R8C",'Mapa final'!#REF!),"")</f>
        <v>#REF!</v>
      </c>
      <c r="S33" s="66" t="e">
        <f>IF(AND('Mapa final'!#REF!="Media",'Mapa final'!#REF!="Menor"),CONCATENATE("R8C",'Mapa final'!#REF!),"")</f>
        <v>#REF!</v>
      </c>
      <c r="T33" s="66" t="e">
        <f>IF(AND('Mapa final'!#REF!="Media",'Mapa final'!#REF!="Menor"),CONCATENATE("R8C",'Mapa final'!#REF!),"")</f>
        <v>#REF!</v>
      </c>
      <c r="U33" s="67" t="e">
        <f>IF(AND('Mapa final'!#REF!="Media",'Mapa final'!#REF!="Menor"),CONCATENATE("R8C",'Mapa final'!#REF!),"")</f>
        <v>#REF!</v>
      </c>
      <c r="V33" s="65" t="str">
        <f>IF(AND('Mapa final'!$Z$20="Media",'Mapa final'!$AB$20="Moderado"),CONCATENATE("R8C",'Mapa final'!$P$20),"")</f>
        <v/>
      </c>
      <c r="W33" s="66" t="str">
        <f>IF(AND('Mapa final'!$Z$21="Media",'Mapa final'!$AB$21="Moderado"),CONCATENATE("R8C",'Mapa final'!$P$21),"")</f>
        <v/>
      </c>
      <c r="X33" s="66" t="e">
        <f>IF(AND('Mapa final'!#REF!="Media",'Mapa final'!#REF!="Moderado"),CONCATENATE("R8C",'Mapa final'!#REF!),"")</f>
        <v>#REF!</v>
      </c>
      <c r="Y33" s="66" t="e">
        <f>IF(AND('Mapa final'!#REF!="Media",'Mapa final'!#REF!="Moderado"),CONCATENATE("R8C",'Mapa final'!#REF!),"")</f>
        <v>#REF!</v>
      </c>
      <c r="Z33" s="66" t="e">
        <f>IF(AND('Mapa final'!#REF!="Media",'Mapa final'!#REF!="Moderado"),CONCATENATE("R8C",'Mapa final'!#REF!),"")</f>
        <v>#REF!</v>
      </c>
      <c r="AA33" s="67" t="e">
        <f>IF(AND('Mapa final'!#REF!="Media",'Mapa final'!#REF!="Moderado"),CONCATENATE("R8C",'Mapa final'!#REF!),"")</f>
        <v>#REF!</v>
      </c>
      <c r="AB33" s="50" t="str">
        <f>IF(AND('Mapa final'!$Z$20="Media",'Mapa final'!$AB$20="Mayor"),CONCATENATE("R8C",'Mapa final'!$P$20),"")</f>
        <v/>
      </c>
      <c r="AC33" s="51" t="str">
        <f>IF(AND('Mapa final'!$Z$21="Media",'Mapa final'!$AB$21="Mayor"),CONCATENATE("R8C",'Mapa final'!$P$21),"")</f>
        <v/>
      </c>
      <c r="AD33" s="51" t="e">
        <f>IF(AND('Mapa final'!#REF!="Media",'Mapa final'!#REF!="Mayor"),CONCATENATE("R8C",'Mapa final'!#REF!),"")</f>
        <v>#REF!</v>
      </c>
      <c r="AE33" s="51" t="e">
        <f>IF(AND('Mapa final'!#REF!="Media",'Mapa final'!#REF!="Mayor"),CONCATENATE("R8C",'Mapa final'!#REF!),"")</f>
        <v>#REF!</v>
      </c>
      <c r="AF33" s="51" t="e">
        <f>IF(AND('Mapa final'!#REF!="Media",'Mapa final'!#REF!="Mayor"),CONCATENATE("R8C",'Mapa final'!#REF!),"")</f>
        <v>#REF!</v>
      </c>
      <c r="AG33" s="52" t="e">
        <f>IF(AND('Mapa final'!#REF!="Media",'Mapa final'!#REF!="Mayor"),CONCATENATE("R8C",'Mapa final'!#REF!),"")</f>
        <v>#REF!</v>
      </c>
      <c r="AH33" s="53" t="str">
        <f>IF(AND('Mapa final'!$Z$20="Media",'Mapa final'!$AB$20="Catastrófico"),CONCATENATE("R8C",'Mapa final'!$P$20),"")</f>
        <v/>
      </c>
      <c r="AI33" s="54" t="str">
        <f>IF(AND('Mapa final'!$Z$21="Media",'Mapa final'!$AB$21="Catastrófico"),CONCATENATE("R8C",'Mapa final'!$P$21),"")</f>
        <v/>
      </c>
      <c r="AJ33" s="54" t="e">
        <f>IF(AND('Mapa final'!#REF!="Media",'Mapa final'!#REF!="Catastrófico"),CONCATENATE("R8C",'Mapa final'!#REF!),"")</f>
        <v>#REF!</v>
      </c>
      <c r="AK33" s="54" t="e">
        <f>IF(AND('Mapa final'!#REF!="Media",'Mapa final'!#REF!="Catastrófico"),CONCATENATE("R8C",'Mapa final'!#REF!),"")</f>
        <v>#REF!</v>
      </c>
      <c r="AL33" s="54" t="e">
        <f>IF(AND('Mapa final'!#REF!="Media",'Mapa final'!#REF!="Catastrófico"),CONCATENATE("R8C",'Mapa final'!#REF!),"")</f>
        <v>#REF!</v>
      </c>
      <c r="AM33" s="55" t="e">
        <f>IF(AND('Mapa final'!#REF!="Media",'Mapa final'!#REF!="Catastrófico"),CONCATENATE("R8C",'Mapa final'!#REF!),"")</f>
        <v>#REF!</v>
      </c>
      <c r="AN33" s="81"/>
      <c r="AO33" s="418"/>
      <c r="AP33" s="419"/>
      <c r="AQ33" s="419"/>
      <c r="AR33" s="419"/>
      <c r="AS33" s="419"/>
      <c r="AT33" s="420"/>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337"/>
      <c r="C34" s="337"/>
      <c r="D34" s="338"/>
      <c r="E34" s="378"/>
      <c r="F34" s="379"/>
      <c r="G34" s="379"/>
      <c r="H34" s="379"/>
      <c r="I34" s="380"/>
      <c r="J34" s="65" t="str">
        <f>IF(AND('Mapa final'!$Z$22="Media",'Mapa final'!$AB$22="Leve"),CONCATENATE("R9C",'Mapa final'!$P$22),"")</f>
        <v/>
      </c>
      <c r="K34" s="66" t="str">
        <f>IF(AND('Mapa final'!$Z$23="Media",'Mapa final'!$AB$23="Leve"),CONCATENATE("R9C",'Mapa final'!$P$23),"")</f>
        <v/>
      </c>
      <c r="L34" s="66" t="e">
        <f>IF(AND('Mapa final'!#REF!="Media",'Mapa final'!#REF!="Leve"),CONCATENATE("R9C",'Mapa final'!#REF!),"")</f>
        <v>#REF!</v>
      </c>
      <c r="M34" s="66" t="e">
        <f>IF(AND('Mapa final'!#REF!="Media",'Mapa final'!#REF!="Leve"),CONCATENATE("R9C",'Mapa final'!#REF!),"")</f>
        <v>#REF!</v>
      </c>
      <c r="N34" s="66" t="e">
        <f>IF(AND('Mapa final'!#REF!="Media",'Mapa final'!#REF!="Leve"),CONCATENATE("R9C",'Mapa final'!#REF!),"")</f>
        <v>#REF!</v>
      </c>
      <c r="O34" s="67" t="e">
        <f>IF(AND('Mapa final'!#REF!="Media",'Mapa final'!#REF!="Leve"),CONCATENATE("R9C",'Mapa final'!#REF!),"")</f>
        <v>#REF!</v>
      </c>
      <c r="P34" s="65" t="str">
        <f>IF(AND('Mapa final'!$Z$22="Media",'Mapa final'!$AB$22="Menor"),CONCATENATE("R9C",'Mapa final'!$P$22),"")</f>
        <v/>
      </c>
      <c r="Q34" s="66" t="str">
        <f>IF(AND('Mapa final'!$Z$23="Media",'Mapa final'!$AB$23="Menor"),CONCATENATE("R9C",'Mapa final'!$P$23),"")</f>
        <v/>
      </c>
      <c r="R34" s="66" t="e">
        <f>IF(AND('Mapa final'!#REF!="Media",'Mapa final'!#REF!="Menor"),CONCATENATE("R9C",'Mapa final'!#REF!),"")</f>
        <v>#REF!</v>
      </c>
      <c r="S34" s="66" t="e">
        <f>IF(AND('Mapa final'!#REF!="Media",'Mapa final'!#REF!="Menor"),CONCATENATE("R9C",'Mapa final'!#REF!),"")</f>
        <v>#REF!</v>
      </c>
      <c r="T34" s="66" t="e">
        <f>IF(AND('Mapa final'!#REF!="Media",'Mapa final'!#REF!="Menor"),CONCATENATE("R9C",'Mapa final'!#REF!),"")</f>
        <v>#REF!</v>
      </c>
      <c r="U34" s="67" t="e">
        <f>IF(AND('Mapa final'!#REF!="Media",'Mapa final'!#REF!="Menor"),CONCATENATE("R9C",'Mapa final'!#REF!),"")</f>
        <v>#REF!</v>
      </c>
      <c r="V34" s="65" t="str">
        <f>IF(AND('Mapa final'!$Z$22="Media",'Mapa final'!$AB$22="Moderado"),CONCATENATE("R9C",'Mapa final'!$P$22),"")</f>
        <v/>
      </c>
      <c r="W34" s="66" t="str">
        <f>IF(AND('Mapa final'!$Z$23="Media",'Mapa final'!$AB$23="Moderado"),CONCATENATE("R9C",'Mapa final'!$P$23),"")</f>
        <v/>
      </c>
      <c r="X34" s="66" t="e">
        <f>IF(AND('Mapa final'!#REF!="Media",'Mapa final'!#REF!="Moderado"),CONCATENATE("R9C",'Mapa final'!#REF!),"")</f>
        <v>#REF!</v>
      </c>
      <c r="Y34" s="66" t="e">
        <f>IF(AND('Mapa final'!#REF!="Media",'Mapa final'!#REF!="Moderado"),CONCATENATE("R9C",'Mapa final'!#REF!),"")</f>
        <v>#REF!</v>
      </c>
      <c r="Z34" s="66" t="e">
        <f>IF(AND('Mapa final'!#REF!="Media",'Mapa final'!#REF!="Moderado"),CONCATENATE("R9C",'Mapa final'!#REF!),"")</f>
        <v>#REF!</v>
      </c>
      <c r="AA34" s="67" t="e">
        <f>IF(AND('Mapa final'!#REF!="Media",'Mapa final'!#REF!="Moderado"),CONCATENATE("R9C",'Mapa final'!#REF!),"")</f>
        <v>#REF!</v>
      </c>
      <c r="AB34" s="50" t="str">
        <f>IF(AND('Mapa final'!$Z$22="Media",'Mapa final'!$AB$22="Mayor"),CONCATENATE("R9C",'Mapa final'!$P$22),"")</f>
        <v/>
      </c>
      <c r="AC34" s="51" t="str">
        <f>IF(AND('Mapa final'!$Z$23="Media",'Mapa final'!$AB$23="Mayor"),CONCATENATE("R9C",'Mapa final'!$P$23),"")</f>
        <v/>
      </c>
      <c r="AD34" s="51" t="e">
        <f>IF(AND('Mapa final'!#REF!="Media",'Mapa final'!#REF!="Mayor"),CONCATENATE("R9C",'Mapa final'!#REF!),"")</f>
        <v>#REF!</v>
      </c>
      <c r="AE34" s="51" t="e">
        <f>IF(AND('Mapa final'!#REF!="Media",'Mapa final'!#REF!="Mayor"),CONCATENATE("R9C",'Mapa final'!#REF!),"")</f>
        <v>#REF!</v>
      </c>
      <c r="AF34" s="51" t="e">
        <f>IF(AND('Mapa final'!#REF!="Media",'Mapa final'!#REF!="Mayor"),CONCATENATE("R9C",'Mapa final'!#REF!),"")</f>
        <v>#REF!</v>
      </c>
      <c r="AG34" s="52" t="e">
        <f>IF(AND('Mapa final'!#REF!="Media",'Mapa final'!#REF!="Mayor"),CONCATENATE("R9C",'Mapa final'!#REF!),"")</f>
        <v>#REF!</v>
      </c>
      <c r="AH34" s="53" t="str">
        <f>IF(AND('Mapa final'!$Z$22="Media",'Mapa final'!$AB$22="Catastrófico"),CONCATENATE("R9C",'Mapa final'!$P$22),"")</f>
        <v/>
      </c>
      <c r="AI34" s="54" t="str">
        <f>IF(AND('Mapa final'!$Z$23="Media",'Mapa final'!$AB$23="Catastrófico"),CONCATENATE("R9C",'Mapa final'!$P$23),"")</f>
        <v/>
      </c>
      <c r="AJ34" s="54" t="e">
        <f>IF(AND('Mapa final'!#REF!="Media",'Mapa final'!#REF!="Catastrófico"),CONCATENATE("R9C",'Mapa final'!#REF!),"")</f>
        <v>#REF!</v>
      </c>
      <c r="AK34" s="54" t="e">
        <f>IF(AND('Mapa final'!#REF!="Media",'Mapa final'!#REF!="Catastrófico"),CONCATENATE("R9C",'Mapa final'!#REF!),"")</f>
        <v>#REF!</v>
      </c>
      <c r="AL34" s="54" t="e">
        <f>IF(AND('Mapa final'!#REF!="Media",'Mapa final'!#REF!="Catastrófico"),CONCATENATE("R9C",'Mapa final'!#REF!),"")</f>
        <v>#REF!</v>
      </c>
      <c r="AM34" s="55" t="e">
        <f>IF(AND('Mapa final'!#REF!="Media",'Mapa final'!#REF!="Catastrófico"),CONCATENATE("R9C",'Mapa final'!#REF!),"")</f>
        <v>#REF!</v>
      </c>
      <c r="AN34" s="81"/>
      <c r="AO34" s="418"/>
      <c r="AP34" s="419"/>
      <c r="AQ34" s="419"/>
      <c r="AR34" s="419"/>
      <c r="AS34" s="419"/>
      <c r="AT34" s="420"/>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337"/>
      <c r="C35" s="337"/>
      <c r="D35" s="338"/>
      <c r="E35" s="381"/>
      <c r="F35" s="382"/>
      <c r="G35" s="382"/>
      <c r="H35" s="382"/>
      <c r="I35" s="383"/>
      <c r="J35" s="65" t="str">
        <f>IF(AND('Mapa final'!$Z$24="Media",'Mapa final'!$AB$24="Leve"),CONCATENATE("R10C",'Mapa final'!$P$24),"")</f>
        <v/>
      </c>
      <c r="K35" s="66" t="str">
        <f>IF(AND('Mapa final'!$Z$25="Media",'Mapa final'!$AB$25="Leve"),CONCATENATE("R10C",'Mapa final'!$P$25),"")</f>
        <v/>
      </c>
      <c r="L35" s="66" t="e">
        <f>IF(AND('Mapa final'!#REF!="Media",'Mapa final'!#REF!="Leve"),CONCATENATE("R10C",'Mapa final'!#REF!),"")</f>
        <v>#REF!</v>
      </c>
      <c r="M35" s="66" t="e">
        <f>IF(AND('Mapa final'!#REF!="Media",'Mapa final'!#REF!="Leve"),CONCATENATE("R10C",'Mapa final'!#REF!),"")</f>
        <v>#REF!</v>
      </c>
      <c r="N35" s="66" t="e">
        <f>IF(AND('Mapa final'!#REF!="Media",'Mapa final'!#REF!="Leve"),CONCATENATE("R10C",'Mapa final'!#REF!),"")</f>
        <v>#REF!</v>
      </c>
      <c r="O35" s="67" t="e">
        <f>IF(AND('Mapa final'!#REF!="Media",'Mapa final'!#REF!="Leve"),CONCATENATE("R10C",'Mapa final'!#REF!),"")</f>
        <v>#REF!</v>
      </c>
      <c r="P35" s="65" t="str">
        <f>IF(AND('Mapa final'!$Z$24="Media",'Mapa final'!$AB$24="Menor"),CONCATENATE("R10C",'Mapa final'!$P$24),"")</f>
        <v/>
      </c>
      <c r="Q35" s="66" t="str">
        <f>IF(AND('Mapa final'!$Z$25="Media",'Mapa final'!$AB$25="Menor"),CONCATENATE("R10C",'Mapa final'!$P$25),"")</f>
        <v/>
      </c>
      <c r="R35" s="66" t="e">
        <f>IF(AND('Mapa final'!#REF!="Media",'Mapa final'!#REF!="Menor"),CONCATENATE("R10C",'Mapa final'!#REF!),"")</f>
        <v>#REF!</v>
      </c>
      <c r="S35" s="66" t="e">
        <f>IF(AND('Mapa final'!#REF!="Media",'Mapa final'!#REF!="Menor"),CONCATENATE("R10C",'Mapa final'!#REF!),"")</f>
        <v>#REF!</v>
      </c>
      <c r="T35" s="66" t="e">
        <f>IF(AND('Mapa final'!#REF!="Media",'Mapa final'!#REF!="Menor"),CONCATENATE("R10C",'Mapa final'!#REF!),"")</f>
        <v>#REF!</v>
      </c>
      <c r="U35" s="67" t="e">
        <f>IF(AND('Mapa final'!#REF!="Media",'Mapa final'!#REF!="Menor"),CONCATENATE("R10C",'Mapa final'!#REF!),"")</f>
        <v>#REF!</v>
      </c>
      <c r="V35" s="65" t="str">
        <f>IF(AND('Mapa final'!$Z$24="Media",'Mapa final'!$AB$24="Moderado"),CONCATENATE("R10C",'Mapa final'!$P$24),"")</f>
        <v/>
      </c>
      <c r="W35" s="66" t="str">
        <f>IF(AND('Mapa final'!$Z$25="Media",'Mapa final'!$AB$25="Moderado"),CONCATENATE("R10C",'Mapa final'!$P$25),"")</f>
        <v/>
      </c>
      <c r="X35" s="66" t="e">
        <f>IF(AND('Mapa final'!#REF!="Media",'Mapa final'!#REF!="Moderado"),CONCATENATE("R10C",'Mapa final'!#REF!),"")</f>
        <v>#REF!</v>
      </c>
      <c r="Y35" s="66" t="e">
        <f>IF(AND('Mapa final'!#REF!="Media",'Mapa final'!#REF!="Moderado"),CONCATENATE("R10C",'Mapa final'!#REF!),"")</f>
        <v>#REF!</v>
      </c>
      <c r="Z35" s="66" t="e">
        <f>IF(AND('Mapa final'!#REF!="Media",'Mapa final'!#REF!="Moderado"),CONCATENATE("R10C",'Mapa final'!#REF!),"")</f>
        <v>#REF!</v>
      </c>
      <c r="AA35" s="67" t="e">
        <f>IF(AND('Mapa final'!#REF!="Media",'Mapa final'!#REF!="Moderado"),CONCATENATE("R10C",'Mapa final'!#REF!),"")</f>
        <v>#REF!</v>
      </c>
      <c r="AB35" s="56" t="str">
        <f>IF(AND('Mapa final'!$Z$24="Media",'Mapa final'!$AB$24="Mayor"),CONCATENATE("R10C",'Mapa final'!$P$24),"")</f>
        <v/>
      </c>
      <c r="AC35" s="57" t="str">
        <f>IF(AND('Mapa final'!$Z$25="Media",'Mapa final'!$AB$25="Mayor"),CONCATENATE("R10C",'Mapa final'!$P$25),"")</f>
        <v/>
      </c>
      <c r="AD35" s="57" t="e">
        <f>IF(AND('Mapa final'!#REF!="Media",'Mapa final'!#REF!="Mayor"),CONCATENATE("R10C",'Mapa final'!#REF!),"")</f>
        <v>#REF!</v>
      </c>
      <c r="AE35" s="57" t="e">
        <f>IF(AND('Mapa final'!#REF!="Media",'Mapa final'!#REF!="Mayor"),CONCATENATE("R10C",'Mapa final'!#REF!),"")</f>
        <v>#REF!</v>
      </c>
      <c r="AF35" s="57" t="e">
        <f>IF(AND('Mapa final'!#REF!="Media",'Mapa final'!#REF!="Mayor"),CONCATENATE("R10C",'Mapa final'!#REF!),"")</f>
        <v>#REF!</v>
      </c>
      <c r="AG35" s="58" t="e">
        <f>IF(AND('Mapa final'!#REF!="Media",'Mapa final'!#REF!="Mayor"),CONCATENATE("R10C",'Mapa final'!#REF!),"")</f>
        <v>#REF!</v>
      </c>
      <c r="AH35" s="59" t="str">
        <f>IF(AND('Mapa final'!$Z$24="Media",'Mapa final'!$AB$24="Catastrófico"),CONCATENATE("R10C",'Mapa final'!$P$24),"")</f>
        <v/>
      </c>
      <c r="AI35" s="60" t="str">
        <f>IF(AND('Mapa final'!$Z$25="Media",'Mapa final'!$AB$25="Catastrófico"),CONCATENATE("R10C",'Mapa final'!$P$25),"")</f>
        <v/>
      </c>
      <c r="AJ35" s="60" t="e">
        <f>IF(AND('Mapa final'!#REF!="Media",'Mapa final'!#REF!="Catastrófico"),CONCATENATE("R10C",'Mapa final'!#REF!),"")</f>
        <v>#REF!</v>
      </c>
      <c r="AK35" s="60" t="e">
        <f>IF(AND('Mapa final'!#REF!="Media",'Mapa final'!#REF!="Catastrófico"),CONCATENATE("R10C",'Mapa final'!#REF!),"")</f>
        <v>#REF!</v>
      </c>
      <c r="AL35" s="60" t="e">
        <f>IF(AND('Mapa final'!#REF!="Media",'Mapa final'!#REF!="Catastrófico"),CONCATENATE("R10C",'Mapa final'!#REF!),"")</f>
        <v>#REF!</v>
      </c>
      <c r="AM35" s="61" t="e">
        <f>IF(AND('Mapa final'!#REF!="Media",'Mapa final'!#REF!="Catastrófico"),CONCATENATE("R10C",'Mapa final'!#REF!),"")</f>
        <v>#REF!</v>
      </c>
      <c r="AN35" s="81"/>
      <c r="AO35" s="421"/>
      <c r="AP35" s="422"/>
      <c r="AQ35" s="422"/>
      <c r="AR35" s="422"/>
      <c r="AS35" s="422"/>
      <c r="AT35" s="423"/>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337"/>
      <c r="C36" s="337"/>
      <c r="D36" s="338"/>
      <c r="E36" s="375" t="s">
        <v>112</v>
      </c>
      <c r="F36" s="376"/>
      <c r="G36" s="376"/>
      <c r="H36" s="376"/>
      <c r="I36" s="376"/>
      <c r="J36" s="71" t="str">
        <f>IF(AND('Mapa final'!$Z$7="Baja",'Mapa final'!$AB$7="Leve"),CONCATENATE("R1C",'Mapa final'!$P$7),"")</f>
        <v/>
      </c>
      <c r="K36" s="72" t="str">
        <f>IF(AND('Mapa final'!$Z$8="Baja",'Mapa final'!$AB$8="Leve"),CONCATENATE("R1C",'Mapa final'!$P$8),"")</f>
        <v/>
      </c>
      <c r="L36" s="72" t="e">
        <f>IF(AND('Mapa final'!#REF!="Baja",'Mapa final'!#REF!="Leve"),CONCATENATE("R1C",'Mapa final'!#REF!),"")</f>
        <v>#REF!</v>
      </c>
      <c r="M36" s="72" t="e">
        <f>IF(AND('Mapa final'!#REF!="Baja",'Mapa final'!#REF!="Leve"),CONCATENATE("R1C",'Mapa final'!#REF!),"")</f>
        <v>#REF!</v>
      </c>
      <c r="N36" s="72" t="e">
        <f>IF(AND('Mapa final'!#REF!="Baja",'Mapa final'!#REF!="Leve"),CONCATENATE("R1C",'Mapa final'!#REF!),"")</f>
        <v>#REF!</v>
      </c>
      <c r="O36" s="73" t="e">
        <f>IF(AND('Mapa final'!#REF!="Baja",'Mapa final'!#REF!="Leve"),CONCATENATE("R1C",'Mapa final'!#REF!),"")</f>
        <v>#REF!</v>
      </c>
      <c r="P36" s="62" t="str">
        <f>IF(AND('Mapa final'!$Z$7="Baja",'Mapa final'!$AB$7="Menor"),CONCATENATE("R1C",'Mapa final'!$P$7),"")</f>
        <v/>
      </c>
      <c r="Q36" s="63" t="str">
        <f>IF(AND('Mapa final'!$Z$8="Baja",'Mapa final'!$AB$8="Menor"),CONCATENATE("R1C",'Mapa final'!$P$8),"")</f>
        <v/>
      </c>
      <c r="R36" s="63" t="e">
        <f>IF(AND('Mapa final'!#REF!="Baja",'Mapa final'!#REF!="Menor"),CONCATENATE("R1C",'Mapa final'!#REF!),"")</f>
        <v>#REF!</v>
      </c>
      <c r="S36" s="63" t="e">
        <f>IF(AND('Mapa final'!#REF!="Baja",'Mapa final'!#REF!="Menor"),CONCATENATE("R1C",'Mapa final'!#REF!),"")</f>
        <v>#REF!</v>
      </c>
      <c r="T36" s="63" t="e">
        <f>IF(AND('Mapa final'!#REF!="Baja",'Mapa final'!#REF!="Menor"),CONCATENATE("R1C",'Mapa final'!#REF!),"")</f>
        <v>#REF!</v>
      </c>
      <c r="U36" s="64" t="e">
        <f>IF(AND('Mapa final'!#REF!="Baja",'Mapa final'!#REF!="Menor"),CONCATENATE("R1C",'Mapa final'!#REF!),"")</f>
        <v>#REF!</v>
      </c>
      <c r="V36" s="62" t="str">
        <f>IF(AND('Mapa final'!$Z$7="Baja",'Mapa final'!$AB$7="Moderado"),CONCATENATE("R1C",'Mapa final'!$P$7),"")</f>
        <v>R1C1</v>
      </c>
      <c r="W36" s="63" t="str">
        <f>IF(AND('Mapa final'!$Z$8="Baja",'Mapa final'!$AB$8="Moderado"),CONCATENATE("R1C",'Mapa final'!$P$8),"")</f>
        <v/>
      </c>
      <c r="X36" s="63" t="e">
        <f>IF(AND('Mapa final'!#REF!="Baja",'Mapa final'!#REF!="Moderado"),CONCATENATE("R1C",'Mapa final'!#REF!),"")</f>
        <v>#REF!</v>
      </c>
      <c r="Y36" s="63" t="e">
        <f>IF(AND('Mapa final'!#REF!="Baja",'Mapa final'!#REF!="Moderado"),CONCATENATE("R1C",'Mapa final'!#REF!),"")</f>
        <v>#REF!</v>
      </c>
      <c r="Z36" s="63" t="e">
        <f>IF(AND('Mapa final'!#REF!="Baja",'Mapa final'!#REF!="Moderado"),CONCATENATE("R1C",'Mapa final'!#REF!),"")</f>
        <v>#REF!</v>
      </c>
      <c r="AA36" s="64" t="e">
        <f>IF(AND('Mapa final'!#REF!="Baja",'Mapa final'!#REF!="Moderado"),CONCATENATE("R1C",'Mapa final'!#REF!),"")</f>
        <v>#REF!</v>
      </c>
      <c r="AB36" s="44" t="str">
        <f>IF(AND('Mapa final'!$Z$7="Baja",'Mapa final'!$AB$7="Mayor"),CONCATENATE("R1C",'Mapa final'!$P$7),"")</f>
        <v/>
      </c>
      <c r="AC36" s="45" t="str">
        <f>IF(AND('Mapa final'!$Z$8="Baja",'Mapa final'!$AB$8="Mayor"),CONCATENATE("R1C",'Mapa final'!$P$8),"")</f>
        <v/>
      </c>
      <c r="AD36" s="45" t="e">
        <f>IF(AND('Mapa final'!#REF!="Baja",'Mapa final'!#REF!="Mayor"),CONCATENATE("R1C",'Mapa final'!#REF!),"")</f>
        <v>#REF!</v>
      </c>
      <c r="AE36" s="45" t="e">
        <f>IF(AND('Mapa final'!#REF!="Baja",'Mapa final'!#REF!="Mayor"),CONCATENATE("R1C",'Mapa final'!#REF!),"")</f>
        <v>#REF!</v>
      </c>
      <c r="AF36" s="45" t="e">
        <f>IF(AND('Mapa final'!#REF!="Baja",'Mapa final'!#REF!="Mayor"),CONCATENATE("R1C",'Mapa final'!#REF!),"")</f>
        <v>#REF!</v>
      </c>
      <c r="AG36" s="46" t="e">
        <f>IF(AND('Mapa final'!#REF!="Baja",'Mapa final'!#REF!="Mayor"),CONCATENATE("R1C",'Mapa final'!#REF!),"")</f>
        <v>#REF!</v>
      </c>
      <c r="AH36" s="47" t="str">
        <f>IF(AND('Mapa final'!$Z$7="Baja",'Mapa final'!$AB$7="Catastrófico"),CONCATENATE("R1C",'Mapa final'!$P$7),"")</f>
        <v/>
      </c>
      <c r="AI36" s="48" t="str">
        <f>IF(AND('Mapa final'!$Z$8="Baja",'Mapa final'!$AB$8="Catastrófico"),CONCATENATE("R1C",'Mapa final'!$P$8),"")</f>
        <v/>
      </c>
      <c r="AJ36" s="48" t="e">
        <f>IF(AND('Mapa final'!#REF!="Baja",'Mapa final'!#REF!="Catastrófico"),CONCATENATE("R1C",'Mapa final'!#REF!),"")</f>
        <v>#REF!</v>
      </c>
      <c r="AK36" s="48" t="e">
        <f>IF(AND('Mapa final'!#REF!="Baja",'Mapa final'!#REF!="Catastrófico"),CONCATENATE("R1C",'Mapa final'!#REF!),"")</f>
        <v>#REF!</v>
      </c>
      <c r="AL36" s="48" t="e">
        <f>IF(AND('Mapa final'!#REF!="Baja",'Mapa final'!#REF!="Catastrófico"),CONCATENATE("R1C",'Mapa final'!#REF!),"")</f>
        <v>#REF!</v>
      </c>
      <c r="AM36" s="49" t="e">
        <f>IF(AND('Mapa final'!#REF!="Baja",'Mapa final'!#REF!="Catastrófico"),CONCATENATE("R1C",'Mapa final'!#REF!),"")</f>
        <v>#REF!</v>
      </c>
      <c r="AN36" s="81"/>
      <c r="AO36" s="406" t="s">
        <v>80</v>
      </c>
      <c r="AP36" s="407"/>
      <c r="AQ36" s="407"/>
      <c r="AR36" s="407"/>
      <c r="AS36" s="407"/>
      <c r="AT36" s="408"/>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337"/>
      <c r="C37" s="337"/>
      <c r="D37" s="338"/>
      <c r="E37" s="394"/>
      <c r="F37" s="379"/>
      <c r="G37" s="379"/>
      <c r="H37" s="379"/>
      <c r="I37" s="379"/>
      <c r="J37" s="74" t="str">
        <f>IF(AND('Mapa final'!$Z$9="Baja",'Mapa final'!$AB$9="Leve"),CONCATENATE("R2C",'Mapa final'!$P$9),"")</f>
        <v/>
      </c>
      <c r="K37" s="75" t="str">
        <f>IF(AND('Mapa final'!$Z$10="Baja",'Mapa final'!$AB$10="Leve"),CONCATENATE("R2C",'Mapa final'!$P$10),"")</f>
        <v/>
      </c>
      <c r="L37" s="75" t="e">
        <f>IF(AND('Mapa final'!#REF!="Baja",'Mapa final'!#REF!="Leve"),CONCATENATE("R2C",'Mapa final'!#REF!),"")</f>
        <v>#REF!</v>
      </c>
      <c r="M37" s="75" t="e">
        <f>IF(AND('Mapa final'!#REF!="Baja",'Mapa final'!#REF!="Leve"),CONCATENATE("R2C",'Mapa final'!#REF!),"")</f>
        <v>#REF!</v>
      </c>
      <c r="N37" s="75" t="e">
        <f>IF(AND('Mapa final'!#REF!="Baja",'Mapa final'!#REF!="Leve"),CONCATENATE("R2C",'Mapa final'!#REF!),"")</f>
        <v>#REF!</v>
      </c>
      <c r="O37" s="76" t="e">
        <f>IF(AND('Mapa final'!#REF!="Baja",'Mapa final'!#REF!="Leve"),CONCATENATE("R2C",'Mapa final'!#REF!),"")</f>
        <v>#REF!</v>
      </c>
      <c r="P37" s="65" t="str">
        <f>IF(AND('Mapa final'!$Z$9="Baja",'Mapa final'!$AB$9="Menor"),CONCATENATE("R2C",'Mapa final'!$P$9),"")</f>
        <v/>
      </c>
      <c r="Q37" s="66" t="str">
        <f>IF(AND('Mapa final'!$Z$10="Baja",'Mapa final'!$AB$10="Menor"),CONCATENATE("R2C",'Mapa final'!$P$10),"")</f>
        <v/>
      </c>
      <c r="R37" s="66" t="e">
        <f>IF(AND('Mapa final'!#REF!="Baja",'Mapa final'!#REF!="Menor"),CONCATENATE("R2C",'Mapa final'!#REF!),"")</f>
        <v>#REF!</v>
      </c>
      <c r="S37" s="66" t="e">
        <f>IF(AND('Mapa final'!#REF!="Baja",'Mapa final'!#REF!="Menor"),CONCATENATE("R2C",'Mapa final'!#REF!),"")</f>
        <v>#REF!</v>
      </c>
      <c r="T37" s="66" t="e">
        <f>IF(AND('Mapa final'!#REF!="Baja",'Mapa final'!#REF!="Menor"),CONCATENATE("R2C",'Mapa final'!#REF!),"")</f>
        <v>#REF!</v>
      </c>
      <c r="U37" s="67" t="e">
        <f>IF(AND('Mapa final'!#REF!="Baja",'Mapa final'!#REF!="Menor"),CONCATENATE("R2C",'Mapa final'!#REF!),"")</f>
        <v>#REF!</v>
      </c>
      <c r="V37" s="65" t="str">
        <f>IF(AND('Mapa final'!$Z$9="Baja",'Mapa final'!$AB$9="Moderado"),CONCATENATE("R2C",'Mapa final'!$P$9),"")</f>
        <v>R2C1</v>
      </c>
      <c r="W37" s="66" t="str">
        <f>IF(AND('Mapa final'!$Z$10="Baja",'Mapa final'!$AB$10="Moderado"),CONCATENATE("R2C",'Mapa final'!$P$10),"")</f>
        <v/>
      </c>
      <c r="X37" s="66" t="e">
        <f>IF(AND('Mapa final'!#REF!="Baja",'Mapa final'!#REF!="Moderado"),CONCATENATE("R2C",'Mapa final'!#REF!),"")</f>
        <v>#REF!</v>
      </c>
      <c r="Y37" s="66" t="e">
        <f>IF(AND('Mapa final'!#REF!="Baja",'Mapa final'!#REF!="Moderado"),CONCATENATE("R2C",'Mapa final'!#REF!),"")</f>
        <v>#REF!</v>
      </c>
      <c r="Z37" s="66" t="e">
        <f>IF(AND('Mapa final'!#REF!="Baja",'Mapa final'!#REF!="Moderado"),CONCATENATE("R2C",'Mapa final'!#REF!),"")</f>
        <v>#REF!</v>
      </c>
      <c r="AA37" s="67" t="e">
        <f>IF(AND('Mapa final'!#REF!="Baja",'Mapa final'!#REF!="Moderado"),CONCATENATE("R2C",'Mapa final'!#REF!),"")</f>
        <v>#REF!</v>
      </c>
      <c r="AB37" s="50" t="str">
        <f>IF(AND('Mapa final'!$Z$9="Baja",'Mapa final'!$AB$9="Mayor"),CONCATENATE("R2C",'Mapa final'!$P$9),"")</f>
        <v/>
      </c>
      <c r="AC37" s="51" t="str">
        <f>IF(AND('Mapa final'!$Z$10="Baja",'Mapa final'!$AB$10="Mayor"),CONCATENATE("R2C",'Mapa final'!$P$10),"")</f>
        <v/>
      </c>
      <c r="AD37" s="51" t="e">
        <f>IF(AND('Mapa final'!#REF!="Baja",'Mapa final'!#REF!="Mayor"),CONCATENATE("R2C",'Mapa final'!#REF!),"")</f>
        <v>#REF!</v>
      </c>
      <c r="AE37" s="51" t="e">
        <f>IF(AND('Mapa final'!#REF!="Baja",'Mapa final'!#REF!="Mayor"),CONCATENATE("R2C",'Mapa final'!#REF!),"")</f>
        <v>#REF!</v>
      </c>
      <c r="AF37" s="51" t="e">
        <f>IF(AND('Mapa final'!#REF!="Baja",'Mapa final'!#REF!="Mayor"),CONCATENATE("R2C",'Mapa final'!#REF!),"")</f>
        <v>#REF!</v>
      </c>
      <c r="AG37" s="52" t="e">
        <f>IF(AND('Mapa final'!#REF!="Baja",'Mapa final'!#REF!="Mayor"),CONCATENATE("R2C",'Mapa final'!#REF!),"")</f>
        <v>#REF!</v>
      </c>
      <c r="AH37" s="53" t="str">
        <f>IF(AND('Mapa final'!$Z$9="Baja",'Mapa final'!$AB$9="Catastrófico"),CONCATENATE("R2C",'Mapa final'!$P$9),"")</f>
        <v/>
      </c>
      <c r="AI37" s="54" t="str">
        <f>IF(AND('Mapa final'!$Z$10="Baja",'Mapa final'!$AB$10="Catastrófico"),CONCATENATE("R2C",'Mapa final'!$P$10),"")</f>
        <v/>
      </c>
      <c r="AJ37" s="54" t="e">
        <f>IF(AND('Mapa final'!#REF!="Baja",'Mapa final'!#REF!="Catastrófico"),CONCATENATE("R2C",'Mapa final'!#REF!),"")</f>
        <v>#REF!</v>
      </c>
      <c r="AK37" s="54" t="e">
        <f>IF(AND('Mapa final'!#REF!="Baja",'Mapa final'!#REF!="Catastrófico"),CONCATENATE("R2C",'Mapa final'!#REF!),"")</f>
        <v>#REF!</v>
      </c>
      <c r="AL37" s="54" t="e">
        <f>IF(AND('Mapa final'!#REF!="Baja",'Mapa final'!#REF!="Catastrófico"),CONCATENATE("R2C",'Mapa final'!#REF!),"")</f>
        <v>#REF!</v>
      </c>
      <c r="AM37" s="55" t="e">
        <f>IF(AND('Mapa final'!#REF!="Baja",'Mapa final'!#REF!="Catastrófico"),CONCATENATE("R2C",'Mapa final'!#REF!),"")</f>
        <v>#REF!</v>
      </c>
      <c r="AN37" s="81"/>
      <c r="AO37" s="409"/>
      <c r="AP37" s="410"/>
      <c r="AQ37" s="410"/>
      <c r="AR37" s="410"/>
      <c r="AS37" s="410"/>
      <c r="AT37" s="41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337"/>
      <c r="C38" s="337"/>
      <c r="D38" s="338"/>
      <c r="E38" s="378"/>
      <c r="F38" s="379"/>
      <c r="G38" s="379"/>
      <c r="H38" s="379"/>
      <c r="I38" s="379"/>
      <c r="J38" s="74" t="str">
        <f>IF(AND('Mapa final'!$Z$11="Baja",'Mapa final'!$AB$11="Leve"),CONCATENATE("R3C",'Mapa final'!$P$11),"")</f>
        <v/>
      </c>
      <c r="K38" s="75" t="e">
        <f>IF(AND('Mapa final'!#REF!="Baja",'Mapa final'!#REF!="Leve"),CONCATENATE("R3C",'Mapa final'!#REF!),"")</f>
        <v>#REF!</v>
      </c>
      <c r="L38" s="75" t="e">
        <f>IF(AND('Mapa final'!#REF!="Baja",'Mapa final'!#REF!="Leve"),CONCATENATE("R3C",'Mapa final'!#REF!),"")</f>
        <v>#REF!</v>
      </c>
      <c r="M38" s="75" t="e">
        <f>IF(AND('Mapa final'!#REF!="Baja",'Mapa final'!#REF!="Leve"),CONCATENATE("R3C",'Mapa final'!#REF!),"")</f>
        <v>#REF!</v>
      </c>
      <c r="N38" s="75" t="e">
        <f>IF(AND('Mapa final'!#REF!="Baja",'Mapa final'!#REF!="Leve"),CONCATENATE("R3C",'Mapa final'!#REF!),"")</f>
        <v>#REF!</v>
      </c>
      <c r="O38" s="76" t="e">
        <f>IF(AND('Mapa final'!#REF!="Baja",'Mapa final'!#REF!="Leve"),CONCATENATE("R3C",'Mapa final'!#REF!),"")</f>
        <v>#REF!</v>
      </c>
      <c r="P38" s="65" t="str">
        <f>IF(AND('Mapa final'!$Z$11="Baja",'Mapa final'!$AB$11="Menor"),CONCATENATE("R3C",'Mapa final'!$P$11),"")</f>
        <v/>
      </c>
      <c r="Q38" s="66" t="e">
        <f>IF(AND('Mapa final'!#REF!="Baja",'Mapa final'!#REF!="Menor"),CONCATENATE("R3C",'Mapa final'!#REF!),"")</f>
        <v>#REF!</v>
      </c>
      <c r="R38" s="66" t="e">
        <f>IF(AND('Mapa final'!#REF!="Baja",'Mapa final'!#REF!="Menor"),CONCATENATE("R3C",'Mapa final'!#REF!),"")</f>
        <v>#REF!</v>
      </c>
      <c r="S38" s="66" t="e">
        <f>IF(AND('Mapa final'!#REF!="Baja",'Mapa final'!#REF!="Menor"),CONCATENATE("R3C",'Mapa final'!#REF!),"")</f>
        <v>#REF!</v>
      </c>
      <c r="T38" s="66" t="e">
        <f>IF(AND('Mapa final'!#REF!="Baja",'Mapa final'!#REF!="Menor"),CONCATENATE("R3C",'Mapa final'!#REF!),"")</f>
        <v>#REF!</v>
      </c>
      <c r="U38" s="67" t="e">
        <f>IF(AND('Mapa final'!#REF!="Baja",'Mapa final'!#REF!="Menor"),CONCATENATE("R3C",'Mapa final'!#REF!),"")</f>
        <v>#REF!</v>
      </c>
      <c r="V38" s="65" t="str">
        <f>IF(AND('Mapa final'!$Z$11="Baja",'Mapa final'!$AB$11="Moderado"),CONCATENATE("R3C",'Mapa final'!$P$11),"")</f>
        <v/>
      </c>
      <c r="W38" s="66" t="e">
        <f>IF(AND('Mapa final'!#REF!="Baja",'Mapa final'!#REF!="Moderado"),CONCATENATE("R3C",'Mapa final'!#REF!),"")</f>
        <v>#REF!</v>
      </c>
      <c r="X38" s="66" t="e">
        <f>IF(AND('Mapa final'!#REF!="Baja",'Mapa final'!#REF!="Moderado"),CONCATENATE("R3C",'Mapa final'!#REF!),"")</f>
        <v>#REF!</v>
      </c>
      <c r="Y38" s="66" t="e">
        <f>IF(AND('Mapa final'!#REF!="Baja",'Mapa final'!#REF!="Moderado"),CONCATENATE("R3C",'Mapa final'!#REF!),"")</f>
        <v>#REF!</v>
      </c>
      <c r="Z38" s="66" t="e">
        <f>IF(AND('Mapa final'!#REF!="Baja",'Mapa final'!#REF!="Moderado"),CONCATENATE("R3C",'Mapa final'!#REF!),"")</f>
        <v>#REF!</v>
      </c>
      <c r="AA38" s="67" t="e">
        <f>IF(AND('Mapa final'!#REF!="Baja",'Mapa final'!#REF!="Moderado"),CONCATENATE("R3C",'Mapa final'!#REF!),"")</f>
        <v>#REF!</v>
      </c>
      <c r="AB38" s="50" t="str">
        <f>IF(AND('Mapa final'!$Z$11="Baja",'Mapa final'!$AB$11="Mayor"),CONCATENATE("R3C",'Mapa final'!$P$11),"")</f>
        <v/>
      </c>
      <c r="AC38" s="51" t="e">
        <f>IF(AND('Mapa final'!#REF!="Baja",'Mapa final'!#REF!="Mayor"),CONCATENATE("R3C",'Mapa final'!#REF!),"")</f>
        <v>#REF!</v>
      </c>
      <c r="AD38" s="51" t="e">
        <f>IF(AND('Mapa final'!#REF!="Baja",'Mapa final'!#REF!="Mayor"),CONCATENATE("R3C",'Mapa final'!#REF!),"")</f>
        <v>#REF!</v>
      </c>
      <c r="AE38" s="51" t="e">
        <f>IF(AND('Mapa final'!#REF!="Baja",'Mapa final'!#REF!="Mayor"),CONCATENATE("R3C",'Mapa final'!#REF!),"")</f>
        <v>#REF!</v>
      </c>
      <c r="AF38" s="51" t="e">
        <f>IF(AND('Mapa final'!#REF!="Baja",'Mapa final'!#REF!="Mayor"),CONCATENATE("R3C",'Mapa final'!#REF!),"")</f>
        <v>#REF!</v>
      </c>
      <c r="AG38" s="52" t="e">
        <f>IF(AND('Mapa final'!#REF!="Baja",'Mapa final'!#REF!="Mayor"),CONCATENATE("R3C",'Mapa final'!#REF!),"")</f>
        <v>#REF!</v>
      </c>
      <c r="AH38" s="53" t="str">
        <f>IF(AND('Mapa final'!$Z$11="Baja",'Mapa final'!$AB$11="Catastrófico"),CONCATENATE("R3C",'Mapa final'!$P$11),"")</f>
        <v/>
      </c>
      <c r="AI38" s="54" t="e">
        <f>IF(AND('Mapa final'!#REF!="Baja",'Mapa final'!#REF!="Catastrófico"),CONCATENATE("R3C",'Mapa final'!#REF!),"")</f>
        <v>#REF!</v>
      </c>
      <c r="AJ38" s="54" t="e">
        <f>IF(AND('Mapa final'!#REF!="Baja",'Mapa final'!#REF!="Catastrófico"),CONCATENATE("R3C",'Mapa final'!#REF!),"")</f>
        <v>#REF!</v>
      </c>
      <c r="AK38" s="54" t="e">
        <f>IF(AND('Mapa final'!#REF!="Baja",'Mapa final'!#REF!="Catastrófico"),CONCATENATE("R3C",'Mapa final'!#REF!),"")</f>
        <v>#REF!</v>
      </c>
      <c r="AL38" s="54" t="e">
        <f>IF(AND('Mapa final'!#REF!="Baja",'Mapa final'!#REF!="Catastrófico"),CONCATENATE("R3C",'Mapa final'!#REF!),"")</f>
        <v>#REF!</v>
      </c>
      <c r="AM38" s="55" t="e">
        <f>IF(AND('Mapa final'!#REF!="Baja",'Mapa final'!#REF!="Catastrófico"),CONCATENATE("R3C",'Mapa final'!#REF!),"")</f>
        <v>#REF!</v>
      </c>
      <c r="AN38" s="81"/>
      <c r="AO38" s="409"/>
      <c r="AP38" s="410"/>
      <c r="AQ38" s="410"/>
      <c r="AR38" s="410"/>
      <c r="AS38" s="410"/>
      <c r="AT38" s="41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337"/>
      <c r="C39" s="337"/>
      <c r="D39" s="338"/>
      <c r="E39" s="378"/>
      <c r="F39" s="379"/>
      <c r="G39" s="379"/>
      <c r="H39" s="379"/>
      <c r="I39" s="379"/>
      <c r="J39" s="74" t="str">
        <f>IF(AND('Mapa final'!$Z$12="Baja",'Mapa final'!$AB$12="Leve"),CONCATENATE("R4C",'Mapa final'!$P$12),"")</f>
        <v/>
      </c>
      <c r="K39" s="75" t="e">
        <f>IF(AND('Mapa final'!#REF!="Baja",'Mapa final'!#REF!="Leve"),CONCATENATE("R4C",'Mapa final'!#REF!),"")</f>
        <v>#REF!</v>
      </c>
      <c r="L39" s="75" t="e">
        <f>IF(AND('Mapa final'!#REF!="Baja",'Mapa final'!#REF!="Leve"),CONCATENATE("R4C",'Mapa final'!#REF!),"")</f>
        <v>#REF!</v>
      </c>
      <c r="M39" s="75" t="e">
        <f>IF(AND('Mapa final'!#REF!="Baja",'Mapa final'!#REF!="Leve"),CONCATENATE("R4C",'Mapa final'!#REF!),"")</f>
        <v>#REF!</v>
      </c>
      <c r="N39" s="75" t="e">
        <f>IF(AND('Mapa final'!#REF!="Baja",'Mapa final'!#REF!="Leve"),CONCATENATE("R4C",'Mapa final'!#REF!),"")</f>
        <v>#REF!</v>
      </c>
      <c r="O39" s="76" t="e">
        <f>IF(AND('Mapa final'!#REF!="Baja",'Mapa final'!#REF!="Leve"),CONCATENATE("R4C",'Mapa final'!#REF!),"")</f>
        <v>#REF!</v>
      </c>
      <c r="P39" s="65" t="str">
        <f>IF(AND('Mapa final'!$Z$12="Baja",'Mapa final'!$AB$12="Menor"),CONCATENATE("R4C",'Mapa final'!$P$12),"")</f>
        <v/>
      </c>
      <c r="Q39" s="66" t="e">
        <f>IF(AND('Mapa final'!#REF!="Baja",'Mapa final'!#REF!="Menor"),CONCATENATE("R4C",'Mapa final'!#REF!),"")</f>
        <v>#REF!</v>
      </c>
      <c r="R39" s="66" t="e">
        <f>IF(AND('Mapa final'!#REF!="Baja",'Mapa final'!#REF!="Menor"),CONCATENATE("R4C",'Mapa final'!#REF!),"")</f>
        <v>#REF!</v>
      </c>
      <c r="S39" s="66" t="e">
        <f>IF(AND('Mapa final'!#REF!="Baja",'Mapa final'!#REF!="Menor"),CONCATENATE("R4C",'Mapa final'!#REF!),"")</f>
        <v>#REF!</v>
      </c>
      <c r="T39" s="66" t="e">
        <f>IF(AND('Mapa final'!#REF!="Baja",'Mapa final'!#REF!="Menor"),CONCATENATE("R4C",'Mapa final'!#REF!),"")</f>
        <v>#REF!</v>
      </c>
      <c r="U39" s="67" t="e">
        <f>IF(AND('Mapa final'!#REF!="Baja",'Mapa final'!#REF!="Menor"),CONCATENATE("R4C",'Mapa final'!#REF!),"")</f>
        <v>#REF!</v>
      </c>
      <c r="V39" s="65" t="str">
        <f>IF(AND('Mapa final'!$Z$12="Baja",'Mapa final'!$AB$12="Moderado"),CONCATENATE("R4C",'Mapa final'!$P$12),"")</f>
        <v>R4C1</v>
      </c>
      <c r="W39" s="66" t="e">
        <f>IF(AND('Mapa final'!#REF!="Baja",'Mapa final'!#REF!="Moderado"),CONCATENATE("R4C",'Mapa final'!#REF!),"")</f>
        <v>#REF!</v>
      </c>
      <c r="X39" s="66" t="e">
        <f>IF(AND('Mapa final'!#REF!="Baja",'Mapa final'!#REF!="Moderado"),CONCATENATE("R4C",'Mapa final'!#REF!),"")</f>
        <v>#REF!</v>
      </c>
      <c r="Y39" s="66" t="e">
        <f>IF(AND('Mapa final'!#REF!="Baja",'Mapa final'!#REF!="Moderado"),CONCATENATE("R4C",'Mapa final'!#REF!),"")</f>
        <v>#REF!</v>
      </c>
      <c r="Z39" s="66" t="e">
        <f>IF(AND('Mapa final'!#REF!="Baja",'Mapa final'!#REF!="Moderado"),CONCATENATE("R4C",'Mapa final'!#REF!),"")</f>
        <v>#REF!</v>
      </c>
      <c r="AA39" s="67" t="e">
        <f>IF(AND('Mapa final'!#REF!="Baja",'Mapa final'!#REF!="Moderado"),CONCATENATE("R4C",'Mapa final'!#REF!),"")</f>
        <v>#REF!</v>
      </c>
      <c r="AB39" s="50" t="str">
        <f>IF(AND('Mapa final'!$Z$12="Baja",'Mapa final'!$AB$12="Mayor"),CONCATENATE("R4C",'Mapa final'!$P$12),"")</f>
        <v/>
      </c>
      <c r="AC39" s="51" t="e">
        <f>IF(AND('Mapa final'!#REF!="Baja",'Mapa final'!#REF!="Mayor"),CONCATENATE("R4C",'Mapa final'!#REF!),"")</f>
        <v>#REF!</v>
      </c>
      <c r="AD39" s="51" t="e">
        <f>IF(AND('Mapa final'!#REF!="Baja",'Mapa final'!#REF!="Mayor"),CONCATENATE("R4C",'Mapa final'!#REF!),"")</f>
        <v>#REF!</v>
      </c>
      <c r="AE39" s="51" t="e">
        <f>IF(AND('Mapa final'!#REF!="Baja",'Mapa final'!#REF!="Mayor"),CONCATENATE("R4C",'Mapa final'!#REF!),"")</f>
        <v>#REF!</v>
      </c>
      <c r="AF39" s="51" t="e">
        <f>IF(AND('Mapa final'!#REF!="Baja",'Mapa final'!#REF!="Mayor"),CONCATENATE("R4C",'Mapa final'!#REF!),"")</f>
        <v>#REF!</v>
      </c>
      <c r="AG39" s="52" t="e">
        <f>IF(AND('Mapa final'!#REF!="Baja",'Mapa final'!#REF!="Mayor"),CONCATENATE("R4C",'Mapa final'!#REF!),"")</f>
        <v>#REF!</v>
      </c>
      <c r="AH39" s="53" t="str">
        <f>IF(AND('Mapa final'!$Z$12="Baja",'Mapa final'!$AB$12="Catastrófico"),CONCATENATE("R4C",'Mapa final'!$P$12),"")</f>
        <v/>
      </c>
      <c r="AI39" s="54" t="e">
        <f>IF(AND('Mapa final'!#REF!="Baja",'Mapa final'!#REF!="Catastrófico"),CONCATENATE("R4C",'Mapa final'!#REF!),"")</f>
        <v>#REF!</v>
      </c>
      <c r="AJ39" s="54" t="e">
        <f>IF(AND('Mapa final'!#REF!="Baja",'Mapa final'!#REF!="Catastrófico"),CONCATENATE("R4C",'Mapa final'!#REF!),"")</f>
        <v>#REF!</v>
      </c>
      <c r="AK39" s="54" t="e">
        <f>IF(AND('Mapa final'!#REF!="Baja",'Mapa final'!#REF!="Catastrófico"),CONCATENATE("R4C",'Mapa final'!#REF!),"")</f>
        <v>#REF!</v>
      </c>
      <c r="AL39" s="54" t="e">
        <f>IF(AND('Mapa final'!#REF!="Baja",'Mapa final'!#REF!="Catastrófico"),CONCATENATE("R4C",'Mapa final'!#REF!),"")</f>
        <v>#REF!</v>
      </c>
      <c r="AM39" s="55" t="e">
        <f>IF(AND('Mapa final'!#REF!="Baja",'Mapa final'!#REF!="Catastrófico"),CONCATENATE("R4C",'Mapa final'!#REF!),"")</f>
        <v>#REF!</v>
      </c>
      <c r="AN39" s="81"/>
      <c r="AO39" s="409"/>
      <c r="AP39" s="410"/>
      <c r="AQ39" s="410"/>
      <c r="AR39" s="410"/>
      <c r="AS39" s="410"/>
      <c r="AT39" s="41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337"/>
      <c r="C40" s="337"/>
      <c r="D40" s="338"/>
      <c r="E40" s="378"/>
      <c r="F40" s="379"/>
      <c r="G40" s="379"/>
      <c r="H40" s="379"/>
      <c r="I40" s="379"/>
      <c r="J40" s="74" t="str">
        <f>IF(AND('Mapa final'!$Z$13="Baja",'Mapa final'!$AB$13="Leve"),CONCATENATE("R5C",'Mapa final'!$P$13),"")</f>
        <v/>
      </c>
      <c r="K40" s="75" t="str">
        <f>IF(AND('Mapa final'!$Z$14="Baja",'Mapa final'!$AB$14="Leve"),CONCATENATE("R5C",'Mapa final'!$P$14),"")</f>
        <v/>
      </c>
      <c r="L40" s="75" t="e">
        <f>IF(AND('Mapa final'!#REF!="Baja",'Mapa final'!#REF!="Leve"),CONCATENATE("R5C",'Mapa final'!#REF!),"")</f>
        <v>#REF!</v>
      </c>
      <c r="M40" s="75" t="e">
        <f>IF(AND('Mapa final'!#REF!="Baja",'Mapa final'!#REF!="Leve"),CONCATENATE("R5C",'Mapa final'!#REF!),"")</f>
        <v>#REF!</v>
      </c>
      <c r="N40" s="75" t="e">
        <f>IF(AND('Mapa final'!#REF!="Baja",'Mapa final'!#REF!="Leve"),CONCATENATE("R5C",'Mapa final'!#REF!),"")</f>
        <v>#REF!</v>
      </c>
      <c r="O40" s="76" t="e">
        <f>IF(AND('Mapa final'!#REF!="Baja",'Mapa final'!#REF!="Leve"),CONCATENATE("R5C",'Mapa final'!#REF!),"")</f>
        <v>#REF!</v>
      </c>
      <c r="P40" s="65" t="str">
        <f>IF(AND('Mapa final'!$Z$13="Baja",'Mapa final'!$AB$13="Menor"),CONCATENATE("R5C",'Mapa final'!$P$13),"")</f>
        <v/>
      </c>
      <c r="Q40" s="66" t="str">
        <f>IF(AND('Mapa final'!$Z$14="Baja",'Mapa final'!$AB$14="Menor"),CONCATENATE("R5C",'Mapa final'!$P$14),"")</f>
        <v/>
      </c>
      <c r="R40" s="66" t="e">
        <f>IF(AND('Mapa final'!#REF!="Baja",'Mapa final'!#REF!="Menor"),CONCATENATE("R5C",'Mapa final'!#REF!),"")</f>
        <v>#REF!</v>
      </c>
      <c r="S40" s="66" t="e">
        <f>IF(AND('Mapa final'!#REF!="Baja",'Mapa final'!#REF!="Menor"),CONCATENATE("R5C",'Mapa final'!#REF!),"")</f>
        <v>#REF!</v>
      </c>
      <c r="T40" s="66" t="e">
        <f>IF(AND('Mapa final'!#REF!="Baja",'Mapa final'!#REF!="Menor"),CONCATENATE("R5C",'Mapa final'!#REF!),"")</f>
        <v>#REF!</v>
      </c>
      <c r="U40" s="67" t="e">
        <f>IF(AND('Mapa final'!#REF!="Baja",'Mapa final'!#REF!="Menor"),CONCATENATE("R5C",'Mapa final'!#REF!),"")</f>
        <v>#REF!</v>
      </c>
      <c r="V40" s="65" t="str">
        <f>IF(AND('Mapa final'!$Z$13="Baja",'Mapa final'!$AB$13="Moderado"),CONCATENATE("R5C",'Mapa final'!$P$13),"")</f>
        <v>R5C1</v>
      </c>
      <c r="W40" s="66" t="str">
        <f>IF(AND('Mapa final'!$Z$14="Baja",'Mapa final'!$AB$14="Moderado"),CONCATENATE("R5C",'Mapa final'!$P$14),"")</f>
        <v/>
      </c>
      <c r="X40" s="66" t="e">
        <f>IF(AND('Mapa final'!#REF!="Baja",'Mapa final'!#REF!="Moderado"),CONCATENATE("R5C",'Mapa final'!#REF!),"")</f>
        <v>#REF!</v>
      </c>
      <c r="Y40" s="66" t="e">
        <f>IF(AND('Mapa final'!#REF!="Baja",'Mapa final'!#REF!="Moderado"),CONCATENATE("R5C",'Mapa final'!#REF!),"")</f>
        <v>#REF!</v>
      </c>
      <c r="Z40" s="66" t="e">
        <f>IF(AND('Mapa final'!#REF!="Baja",'Mapa final'!#REF!="Moderado"),CONCATENATE("R5C",'Mapa final'!#REF!),"")</f>
        <v>#REF!</v>
      </c>
      <c r="AA40" s="67" t="e">
        <f>IF(AND('Mapa final'!#REF!="Baja",'Mapa final'!#REF!="Moderado"),CONCATENATE("R5C",'Mapa final'!#REF!),"")</f>
        <v>#REF!</v>
      </c>
      <c r="AB40" s="50" t="str">
        <f>IF(AND('Mapa final'!$Z$13="Baja",'Mapa final'!$AB$13="Mayor"),CONCATENATE("R5C",'Mapa final'!$P$13),"")</f>
        <v/>
      </c>
      <c r="AC40" s="51" t="str">
        <f>IF(AND('Mapa final'!$Z$14="Baja",'Mapa final'!$AB$14="Mayor"),CONCATENATE("R5C",'Mapa final'!$P$14),"")</f>
        <v/>
      </c>
      <c r="AD40" s="51" t="e">
        <f>IF(AND('Mapa final'!#REF!="Baja",'Mapa final'!#REF!="Mayor"),CONCATENATE("R5C",'Mapa final'!#REF!),"")</f>
        <v>#REF!</v>
      </c>
      <c r="AE40" s="51" t="e">
        <f>IF(AND('Mapa final'!#REF!="Baja",'Mapa final'!#REF!="Mayor"),CONCATENATE("R5C",'Mapa final'!#REF!),"")</f>
        <v>#REF!</v>
      </c>
      <c r="AF40" s="51" t="e">
        <f>IF(AND('Mapa final'!#REF!="Baja",'Mapa final'!#REF!="Mayor"),CONCATENATE("R5C",'Mapa final'!#REF!),"")</f>
        <v>#REF!</v>
      </c>
      <c r="AG40" s="52" t="e">
        <f>IF(AND('Mapa final'!#REF!="Baja",'Mapa final'!#REF!="Mayor"),CONCATENATE("R5C",'Mapa final'!#REF!),"")</f>
        <v>#REF!</v>
      </c>
      <c r="AH40" s="53" t="str">
        <f>IF(AND('Mapa final'!$Z$13="Baja",'Mapa final'!$AB$13="Catastrófico"),CONCATENATE("R5C",'Mapa final'!$P$13),"")</f>
        <v/>
      </c>
      <c r="AI40" s="54" t="str">
        <f>IF(AND('Mapa final'!$Z$14="Baja",'Mapa final'!$AB$14="Catastrófico"),CONCATENATE("R5C",'Mapa final'!$P$14),"")</f>
        <v/>
      </c>
      <c r="AJ40" s="54" t="e">
        <f>IF(AND('Mapa final'!#REF!="Baja",'Mapa final'!#REF!="Catastrófico"),CONCATENATE("R5C",'Mapa final'!#REF!),"")</f>
        <v>#REF!</v>
      </c>
      <c r="AK40" s="54" t="e">
        <f>IF(AND('Mapa final'!#REF!="Baja",'Mapa final'!#REF!="Catastrófico"),CONCATENATE("R5C",'Mapa final'!#REF!),"")</f>
        <v>#REF!</v>
      </c>
      <c r="AL40" s="54" t="e">
        <f>IF(AND('Mapa final'!#REF!="Baja",'Mapa final'!#REF!="Catastrófico"),CONCATENATE("R5C",'Mapa final'!#REF!),"")</f>
        <v>#REF!</v>
      </c>
      <c r="AM40" s="55" t="e">
        <f>IF(AND('Mapa final'!#REF!="Baja",'Mapa final'!#REF!="Catastrófico"),CONCATENATE("R5C",'Mapa final'!#REF!),"")</f>
        <v>#REF!</v>
      </c>
      <c r="AN40" s="81"/>
      <c r="AO40" s="409"/>
      <c r="AP40" s="410"/>
      <c r="AQ40" s="410"/>
      <c r="AR40" s="410"/>
      <c r="AS40" s="410"/>
      <c r="AT40" s="41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337"/>
      <c r="C41" s="337"/>
      <c r="D41" s="338"/>
      <c r="E41" s="378"/>
      <c r="F41" s="379"/>
      <c r="G41" s="379"/>
      <c r="H41" s="379"/>
      <c r="I41" s="379"/>
      <c r="J41" s="74" t="str">
        <f>IF(AND('Mapa final'!$Z$15="Baja",'Mapa final'!$AB$15="Leve"),CONCATENATE("R6C",'Mapa final'!$P$15),"")</f>
        <v/>
      </c>
      <c r="K41" s="75" t="str">
        <f>IF(AND('Mapa final'!$Z$16="Baja",'Mapa final'!$AB$16="Leve"),CONCATENATE("R6C",'Mapa final'!$P$16),"")</f>
        <v/>
      </c>
      <c r="L41" s="75" t="str">
        <f>IF(AND('Mapa final'!$Z$17="Baja",'Mapa final'!$AB$17="Leve"),CONCATENATE("R6C",'Mapa final'!$P$17),"")</f>
        <v/>
      </c>
      <c r="M41" s="75" t="e">
        <f>IF(AND('Mapa final'!#REF!="Baja",'Mapa final'!#REF!="Leve"),CONCATENATE("R6C",'Mapa final'!#REF!),"")</f>
        <v>#REF!</v>
      </c>
      <c r="N41" s="75" t="e">
        <f>IF(AND('Mapa final'!#REF!="Baja",'Mapa final'!#REF!="Leve"),CONCATENATE("R6C",'Mapa final'!#REF!),"")</f>
        <v>#REF!</v>
      </c>
      <c r="O41" s="76" t="e">
        <f>IF(AND('Mapa final'!#REF!="Baja",'Mapa final'!#REF!="Leve"),CONCATENATE("R6C",'Mapa final'!#REF!),"")</f>
        <v>#REF!</v>
      </c>
      <c r="P41" s="65" t="str">
        <f>IF(AND('Mapa final'!$Z$15="Baja",'Mapa final'!$AB$15="Menor"),CONCATENATE("R6C",'Mapa final'!$P$15),"")</f>
        <v/>
      </c>
      <c r="Q41" s="66" t="str">
        <f>IF(AND('Mapa final'!$Z$16="Baja",'Mapa final'!$AB$16="Menor"),CONCATENATE("R6C",'Mapa final'!$P$16),"")</f>
        <v/>
      </c>
      <c r="R41" s="66" t="str">
        <f>IF(AND('Mapa final'!$Z$17="Baja",'Mapa final'!$AB$17="Menor"),CONCATENATE("R6C",'Mapa final'!$P$17),"")</f>
        <v/>
      </c>
      <c r="S41" s="66" t="e">
        <f>IF(AND('Mapa final'!#REF!="Baja",'Mapa final'!#REF!="Menor"),CONCATENATE("R6C",'Mapa final'!#REF!),"")</f>
        <v>#REF!</v>
      </c>
      <c r="T41" s="66" t="e">
        <f>IF(AND('Mapa final'!#REF!="Baja",'Mapa final'!#REF!="Menor"),CONCATENATE("R6C",'Mapa final'!#REF!),"")</f>
        <v>#REF!</v>
      </c>
      <c r="U41" s="67" t="e">
        <f>IF(AND('Mapa final'!#REF!="Baja",'Mapa final'!#REF!="Menor"),CONCATENATE("R6C",'Mapa final'!#REF!),"")</f>
        <v>#REF!</v>
      </c>
      <c r="V41" s="65" t="str">
        <f>IF(AND('Mapa final'!$Z$15="Baja",'Mapa final'!$AB$15="Moderado"),CONCATENATE("R6C",'Mapa final'!$P$15),"")</f>
        <v/>
      </c>
      <c r="W41" s="66" t="str">
        <f>IF(AND('Mapa final'!$Z$16="Baja",'Mapa final'!$AB$16="Moderado"),CONCATENATE("R6C",'Mapa final'!$P$16),"")</f>
        <v/>
      </c>
      <c r="X41" s="66" t="str">
        <f>IF(AND('Mapa final'!$Z$17="Baja",'Mapa final'!$AB$17="Moderado"),CONCATENATE("R6C",'Mapa final'!$P$17),"")</f>
        <v/>
      </c>
      <c r="Y41" s="66" t="e">
        <f>IF(AND('Mapa final'!#REF!="Baja",'Mapa final'!#REF!="Moderado"),CONCATENATE("R6C",'Mapa final'!#REF!),"")</f>
        <v>#REF!</v>
      </c>
      <c r="Z41" s="66" t="e">
        <f>IF(AND('Mapa final'!#REF!="Baja",'Mapa final'!#REF!="Moderado"),CONCATENATE("R6C",'Mapa final'!#REF!),"")</f>
        <v>#REF!</v>
      </c>
      <c r="AA41" s="67" t="e">
        <f>IF(AND('Mapa final'!#REF!="Baja",'Mapa final'!#REF!="Moderado"),CONCATENATE("R6C",'Mapa final'!#REF!),"")</f>
        <v>#REF!</v>
      </c>
      <c r="AB41" s="50" t="str">
        <f>IF(AND('Mapa final'!$Z$15="Baja",'Mapa final'!$AB$15="Mayor"),CONCATENATE("R6C",'Mapa final'!$P$15),"")</f>
        <v/>
      </c>
      <c r="AC41" s="51" t="str">
        <f>IF(AND('Mapa final'!$Z$16="Baja",'Mapa final'!$AB$16="Mayor"),CONCATENATE("R6C",'Mapa final'!$P$16),"")</f>
        <v/>
      </c>
      <c r="AD41" s="51" t="str">
        <f>IF(AND('Mapa final'!$Z$17="Baja",'Mapa final'!$AB$17="Mayor"),CONCATENATE("R6C",'Mapa final'!$P$17),"")</f>
        <v/>
      </c>
      <c r="AE41" s="51" t="e">
        <f>IF(AND('Mapa final'!#REF!="Baja",'Mapa final'!#REF!="Mayor"),CONCATENATE("R6C",'Mapa final'!#REF!),"")</f>
        <v>#REF!</v>
      </c>
      <c r="AF41" s="51" t="e">
        <f>IF(AND('Mapa final'!#REF!="Baja",'Mapa final'!#REF!="Mayor"),CONCATENATE("R6C",'Mapa final'!#REF!),"")</f>
        <v>#REF!</v>
      </c>
      <c r="AG41" s="52" t="e">
        <f>IF(AND('Mapa final'!#REF!="Baja",'Mapa final'!#REF!="Mayor"),CONCATENATE("R6C",'Mapa final'!#REF!),"")</f>
        <v>#REF!</v>
      </c>
      <c r="AH41" s="53" t="str">
        <f>IF(AND('Mapa final'!$Z$15="Baja",'Mapa final'!$AB$15="Catastrófico"),CONCATENATE("R6C",'Mapa final'!$P$15),"")</f>
        <v/>
      </c>
      <c r="AI41" s="54" t="str">
        <f>IF(AND('Mapa final'!$Z$16="Baja",'Mapa final'!$AB$16="Catastrófico"),CONCATENATE("R6C",'Mapa final'!$P$16),"")</f>
        <v/>
      </c>
      <c r="AJ41" s="54" t="str">
        <f>IF(AND('Mapa final'!$Z$17="Baja",'Mapa final'!$AB$17="Catastrófico"),CONCATENATE("R6C",'Mapa final'!$P$17),"")</f>
        <v/>
      </c>
      <c r="AK41" s="54" t="e">
        <f>IF(AND('Mapa final'!#REF!="Baja",'Mapa final'!#REF!="Catastrófico"),CONCATENATE("R6C",'Mapa final'!#REF!),"")</f>
        <v>#REF!</v>
      </c>
      <c r="AL41" s="54" t="e">
        <f>IF(AND('Mapa final'!#REF!="Baja",'Mapa final'!#REF!="Catastrófico"),CONCATENATE("R6C",'Mapa final'!#REF!),"")</f>
        <v>#REF!</v>
      </c>
      <c r="AM41" s="55" t="e">
        <f>IF(AND('Mapa final'!#REF!="Baja",'Mapa final'!#REF!="Catastrófico"),CONCATENATE("R6C",'Mapa final'!#REF!),"")</f>
        <v>#REF!</v>
      </c>
      <c r="AN41" s="81"/>
      <c r="AO41" s="409"/>
      <c r="AP41" s="410"/>
      <c r="AQ41" s="410"/>
      <c r="AR41" s="410"/>
      <c r="AS41" s="410"/>
      <c r="AT41" s="41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337"/>
      <c r="C42" s="337"/>
      <c r="D42" s="338"/>
      <c r="E42" s="378"/>
      <c r="F42" s="379"/>
      <c r="G42" s="379"/>
      <c r="H42" s="379"/>
      <c r="I42" s="379"/>
      <c r="J42" s="74" t="str">
        <f>IF(AND('Mapa final'!$Z$18="Baja",'Mapa final'!$AB$18="Leve"),CONCATENATE("R7C",'Mapa final'!$P$18),"")</f>
        <v/>
      </c>
      <c r="K42" s="75" t="str">
        <f>IF(AND('Mapa final'!$Z$19="Baja",'Mapa final'!$AB$19="Leve"),CONCATENATE("R7C",'Mapa final'!$P$19),"")</f>
        <v/>
      </c>
      <c r="L42" s="75" t="e">
        <f>IF(AND('Mapa final'!#REF!="Baja",'Mapa final'!#REF!="Leve"),CONCATENATE("R7C",'Mapa final'!#REF!),"")</f>
        <v>#REF!</v>
      </c>
      <c r="M42" s="75" t="e">
        <f>IF(AND('Mapa final'!#REF!="Baja",'Mapa final'!#REF!="Leve"),CONCATENATE("R7C",'Mapa final'!#REF!),"")</f>
        <v>#REF!</v>
      </c>
      <c r="N42" s="75" t="e">
        <f>IF(AND('Mapa final'!#REF!="Baja",'Mapa final'!#REF!="Leve"),CONCATENATE("R7C",'Mapa final'!#REF!),"")</f>
        <v>#REF!</v>
      </c>
      <c r="O42" s="76" t="e">
        <f>IF(AND('Mapa final'!#REF!="Baja",'Mapa final'!#REF!="Leve"),CONCATENATE("R7C",'Mapa final'!#REF!),"")</f>
        <v>#REF!</v>
      </c>
      <c r="P42" s="65" t="str">
        <f>IF(AND('Mapa final'!$Z$18="Baja",'Mapa final'!$AB$18="Menor"),CONCATENATE("R7C",'Mapa final'!$P$18),"")</f>
        <v>R7C1</v>
      </c>
      <c r="Q42" s="66" t="str">
        <f>IF(AND('Mapa final'!$Z$19="Baja",'Mapa final'!$AB$19="Menor"),CONCATENATE("R7C",'Mapa final'!$P$19),"")</f>
        <v/>
      </c>
      <c r="R42" s="66" t="e">
        <f>IF(AND('Mapa final'!#REF!="Baja",'Mapa final'!#REF!="Menor"),CONCATENATE("R7C",'Mapa final'!#REF!),"")</f>
        <v>#REF!</v>
      </c>
      <c r="S42" s="66" t="e">
        <f>IF(AND('Mapa final'!#REF!="Baja",'Mapa final'!#REF!="Menor"),CONCATENATE("R7C",'Mapa final'!#REF!),"")</f>
        <v>#REF!</v>
      </c>
      <c r="T42" s="66" t="e">
        <f>IF(AND('Mapa final'!#REF!="Baja",'Mapa final'!#REF!="Menor"),CONCATENATE("R7C",'Mapa final'!#REF!),"")</f>
        <v>#REF!</v>
      </c>
      <c r="U42" s="67" t="e">
        <f>IF(AND('Mapa final'!#REF!="Baja",'Mapa final'!#REF!="Menor"),CONCATENATE("R7C",'Mapa final'!#REF!),"")</f>
        <v>#REF!</v>
      </c>
      <c r="V42" s="65" t="str">
        <f>IF(AND('Mapa final'!$Z$18="Baja",'Mapa final'!$AB$18="Moderado"),CONCATENATE("R7C",'Mapa final'!$P$18),"")</f>
        <v/>
      </c>
      <c r="W42" s="66" t="str">
        <f>IF(AND('Mapa final'!$Z$19="Baja",'Mapa final'!$AB$19="Moderado"),CONCATENATE("R7C",'Mapa final'!$P$19),"")</f>
        <v/>
      </c>
      <c r="X42" s="66" t="e">
        <f>IF(AND('Mapa final'!#REF!="Baja",'Mapa final'!#REF!="Moderado"),CONCATENATE("R7C",'Mapa final'!#REF!),"")</f>
        <v>#REF!</v>
      </c>
      <c r="Y42" s="66" t="e">
        <f>IF(AND('Mapa final'!#REF!="Baja",'Mapa final'!#REF!="Moderado"),CONCATENATE("R7C",'Mapa final'!#REF!),"")</f>
        <v>#REF!</v>
      </c>
      <c r="Z42" s="66" t="e">
        <f>IF(AND('Mapa final'!#REF!="Baja",'Mapa final'!#REF!="Moderado"),CONCATENATE("R7C",'Mapa final'!#REF!),"")</f>
        <v>#REF!</v>
      </c>
      <c r="AA42" s="67" t="e">
        <f>IF(AND('Mapa final'!#REF!="Baja",'Mapa final'!#REF!="Moderado"),CONCATENATE("R7C",'Mapa final'!#REF!),"")</f>
        <v>#REF!</v>
      </c>
      <c r="AB42" s="50" t="str">
        <f>IF(AND('Mapa final'!$Z$18="Baja",'Mapa final'!$AB$18="Mayor"),CONCATENATE("R7C",'Mapa final'!$P$18),"")</f>
        <v/>
      </c>
      <c r="AC42" s="51" t="str">
        <f>IF(AND('Mapa final'!$Z$19="Baja",'Mapa final'!$AB$19="Mayor"),CONCATENATE("R7C",'Mapa final'!$P$19),"")</f>
        <v/>
      </c>
      <c r="AD42" s="51" t="e">
        <f>IF(AND('Mapa final'!#REF!="Baja",'Mapa final'!#REF!="Mayor"),CONCATENATE("R7C",'Mapa final'!#REF!),"")</f>
        <v>#REF!</v>
      </c>
      <c r="AE42" s="51" t="e">
        <f>IF(AND('Mapa final'!#REF!="Baja",'Mapa final'!#REF!="Mayor"),CONCATENATE("R7C",'Mapa final'!#REF!),"")</f>
        <v>#REF!</v>
      </c>
      <c r="AF42" s="51" t="e">
        <f>IF(AND('Mapa final'!#REF!="Baja",'Mapa final'!#REF!="Mayor"),CONCATENATE("R7C",'Mapa final'!#REF!),"")</f>
        <v>#REF!</v>
      </c>
      <c r="AG42" s="52" t="e">
        <f>IF(AND('Mapa final'!#REF!="Baja",'Mapa final'!#REF!="Mayor"),CONCATENATE("R7C",'Mapa final'!#REF!),"")</f>
        <v>#REF!</v>
      </c>
      <c r="AH42" s="53" t="str">
        <f>IF(AND('Mapa final'!$Z$18="Baja",'Mapa final'!$AB$18="Catastrófico"),CONCATENATE("R7C",'Mapa final'!$P$18),"")</f>
        <v/>
      </c>
      <c r="AI42" s="54" t="str">
        <f>IF(AND('Mapa final'!$Z$19="Baja",'Mapa final'!$AB$19="Catastrófico"),CONCATENATE("R7C",'Mapa final'!$P$19),"")</f>
        <v/>
      </c>
      <c r="AJ42" s="54" t="e">
        <f>IF(AND('Mapa final'!#REF!="Baja",'Mapa final'!#REF!="Catastrófico"),CONCATENATE("R7C",'Mapa final'!#REF!),"")</f>
        <v>#REF!</v>
      </c>
      <c r="AK42" s="54" t="e">
        <f>IF(AND('Mapa final'!#REF!="Baja",'Mapa final'!#REF!="Catastrófico"),CONCATENATE("R7C",'Mapa final'!#REF!),"")</f>
        <v>#REF!</v>
      </c>
      <c r="AL42" s="54" t="e">
        <f>IF(AND('Mapa final'!#REF!="Baja",'Mapa final'!#REF!="Catastrófico"),CONCATENATE("R7C",'Mapa final'!#REF!),"")</f>
        <v>#REF!</v>
      </c>
      <c r="AM42" s="55" t="e">
        <f>IF(AND('Mapa final'!#REF!="Baja",'Mapa final'!#REF!="Catastrófico"),CONCATENATE("R7C",'Mapa final'!#REF!),"")</f>
        <v>#REF!</v>
      </c>
      <c r="AN42" s="81"/>
      <c r="AO42" s="409"/>
      <c r="AP42" s="410"/>
      <c r="AQ42" s="410"/>
      <c r="AR42" s="410"/>
      <c r="AS42" s="410"/>
      <c r="AT42" s="41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337"/>
      <c r="C43" s="337"/>
      <c r="D43" s="338"/>
      <c r="E43" s="378"/>
      <c r="F43" s="379"/>
      <c r="G43" s="379"/>
      <c r="H43" s="379"/>
      <c r="I43" s="379"/>
      <c r="J43" s="74" t="str">
        <f>IF(AND('Mapa final'!$Z$20="Baja",'Mapa final'!$AB$20="Leve"),CONCATENATE("R8C",'Mapa final'!$P$20),"")</f>
        <v/>
      </c>
      <c r="K43" s="75" t="str">
        <f>IF(AND('Mapa final'!$Z$21="Baja",'Mapa final'!$AB$21="Leve"),CONCATENATE("R8C",'Mapa final'!$P$21),"")</f>
        <v>R8C2</v>
      </c>
      <c r="L43" s="75" t="e">
        <f>IF(AND('Mapa final'!#REF!="Baja",'Mapa final'!#REF!="Leve"),CONCATENATE("R8C",'Mapa final'!#REF!),"")</f>
        <v>#REF!</v>
      </c>
      <c r="M43" s="75" t="e">
        <f>IF(AND('Mapa final'!#REF!="Baja",'Mapa final'!#REF!="Leve"),CONCATENATE("R8C",'Mapa final'!#REF!),"")</f>
        <v>#REF!</v>
      </c>
      <c r="N43" s="75" t="e">
        <f>IF(AND('Mapa final'!#REF!="Baja",'Mapa final'!#REF!="Leve"),CONCATENATE("R8C",'Mapa final'!#REF!),"")</f>
        <v>#REF!</v>
      </c>
      <c r="O43" s="76" t="e">
        <f>IF(AND('Mapa final'!#REF!="Baja",'Mapa final'!#REF!="Leve"),CONCATENATE("R8C",'Mapa final'!#REF!),"")</f>
        <v>#REF!</v>
      </c>
      <c r="P43" s="65" t="str">
        <f>IF(AND('Mapa final'!$Z$20="Baja",'Mapa final'!$AB$20="Menor"),CONCATENATE("R8C",'Mapa final'!$P$20),"")</f>
        <v/>
      </c>
      <c r="Q43" s="66" t="str">
        <f>IF(AND('Mapa final'!$Z$21="Baja",'Mapa final'!$AB$21="Menor"),CONCATENATE("R8C",'Mapa final'!$P$21),"")</f>
        <v/>
      </c>
      <c r="R43" s="66" t="e">
        <f>IF(AND('Mapa final'!#REF!="Baja",'Mapa final'!#REF!="Menor"),CONCATENATE("R8C",'Mapa final'!#REF!),"")</f>
        <v>#REF!</v>
      </c>
      <c r="S43" s="66" t="e">
        <f>IF(AND('Mapa final'!#REF!="Baja",'Mapa final'!#REF!="Menor"),CONCATENATE("R8C",'Mapa final'!#REF!),"")</f>
        <v>#REF!</v>
      </c>
      <c r="T43" s="66" t="e">
        <f>IF(AND('Mapa final'!#REF!="Baja",'Mapa final'!#REF!="Menor"),CONCATENATE("R8C",'Mapa final'!#REF!),"")</f>
        <v>#REF!</v>
      </c>
      <c r="U43" s="67" t="e">
        <f>IF(AND('Mapa final'!#REF!="Baja",'Mapa final'!#REF!="Menor"),CONCATENATE("R8C",'Mapa final'!#REF!),"")</f>
        <v>#REF!</v>
      </c>
      <c r="V43" s="65" t="str">
        <f>IF(AND('Mapa final'!$Z$20="Baja",'Mapa final'!$AB$20="Moderado"),CONCATENATE("R8C",'Mapa final'!$P$20),"")</f>
        <v/>
      </c>
      <c r="W43" s="66" t="str">
        <f>IF(AND('Mapa final'!$Z$21="Baja",'Mapa final'!$AB$21="Moderado"),CONCATENATE("R8C",'Mapa final'!$P$21),"")</f>
        <v/>
      </c>
      <c r="X43" s="66" t="e">
        <f>IF(AND('Mapa final'!#REF!="Baja",'Mapa final'!#REF!="Moderado"),CONCATENATE("R8C",'Mapa final'!#REF!),"")</f>
        <v>#REF!</v>
      </c>
      <c r="Y43" s="66" t="e">
        <f>IF(AND('Mapa final'!#REF!="Baja",'Mapa final'!#REF!="Moderado"),CONCATENATE("R8C",'Mapa final'!#REF!),"")</f>
        <v>#REF!</v>
      </c>
      <c r="Z43" s="66" t="e">
        <f>IF(AND('Mapa final'!#REF!="Baja",'Mapa final'!#REF!="Moderado"),CONCATENATE("R8C",'Mapa final'!#REF!),"")</f>
        <v>#REF!</v>
      </c>
      <c r="AA43" s="67" t="e">
        <f>IF(AND('Mapa final'!#REF!="Baja",'Mapa final'!#REF!="Moderado"),CONCATENATE("R8C",'Mapa final'!#REF!),"")</f>
        <v>#REF!</v>
      </c>
      <c r="AB43" s="50" t="str">
        <f>IF(AND('Mapa final'!$Z$20="Baja",'Mapa final'!$AB$20="Mayor"),CONCATENATE("R8C",'Mapa final'!$P$20),"")</f>
        <v/>
      </c>
      <c r="AC43" s="51" t="str">
        <f>IF(AND('Mapa final'!$Z$21="Baja",'Mapa final'!$AB$21="Mayor"),CONCATENATE("R8C",'Mapa final'!$P$21),"")</f>
        <v/>
      </c>
      <c r="AD43" s="51" t="e">
        <f>IF(AND('Mapa final'!#REF!="Baja",'Mapa final'!#REF!="Mayor"),CONCATENATE("R8C",'Mapa final'!#REF!),"")</f>
        <v>#REF!</v>
      </c>
      <c r="AE43" s="51" t="e">
        <f>IF(AND('Mapa final'!#REF!="Baja",'Mapa final'!#REF!="Mayor"),CONCATENATE("R8C",'Mapa final'!#REF!),"")</f>
        <v>#REF!</v>
      </c>
      <c r="AF43" s="51" t="e">
        <f>IF(AND('Mapa final'!#REF!="Baja",'Mapa final'!#REF!="Mayor"),CONCATENATE("R8C",'Mapa final'!#REF!),"")</f>
        <v>#REF!</v>
      </c>
      <c r="AG43" s="52" t="e">
        <f>IF(AND('Mapa final'!#REF!="Baja",'Mapa final'!#REF!="Mayor"),CONCATENATE("R8C",'Mapa final'!#REF!),"")</f>
        <v>#REF!</v>
      </c>
      <c r="AH43" s="53" t="str">
        <f>IF(AND('Mapa final'!$Z$20="Baja",'Mapa final'!$AB$20="Catastrófico"),CONCATENATE("R8C",'Mapa final'!$P$20),"")</f>
        <v/>
      </c>
      <c r="AI43" s="54" t="str">
        <f>IF(AND('Mapa final'!$Z$21="Baja",'Mapa final'!$AB$21="Catastrófico"),CONCATENATE("R8C",'Mapa final'!$P$21),"")</f>
        <v/>
      </c>
      <c r="AJ43" s="54" t="e">
        <f>IF(AND('Mapa final'!#REF!="Baja",'Mapa final'!#REF!="Catastrófico"),CONCATENATE("R8C",'Mapa final'!#REF!),"")</f>
        <v>#REF!</v>
      </c>
      <c r="AK43" s="54" t="e">
        <f>IF(AND('Mapa final'!#REF!="Baja",'Mapa final'!#REF!="Catastrófico"),CONCATENATE("R8C",'Mapa final'!#REF!),"")</f>
        <v>#REF!</v>
      </c>
      <c r="AL43" s="54" t="e">
        <f>IF(AND('Mapa final'!#REF!="Baja",'Mapa final'!#REF!="Catastrófico"),CONCATENATE("R8C",'Mapa final'!#REF!),"")</f>
        <v>#REF!</v>
      </c>
      <c r="AM43" s="55" t="e">
        <f>IF(AND('Mapa final'!#REF!="Baja",'Mapa final'!#REF!="Catastrófico"),CONCATENATE("R8C",'Mapa final'!#REF!),"")</f>
        <v>#REF!</v>
      </c>
      <c r="AN43" s="81"/>
      <c r="AO43" s="409"/>
      <c r="AP43" s="410"/>
      <c r="AQ43" s="410"/>
      <c r="AR43" s="410"/>
      <c r="AS43" s="410"/>
      <c r="AT43" s="41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337"/>
      <c r="C44" s="337"/>
      <c r="D44" s="338"/>
      <c r="E44" s="378"/>
      <c r="F44" s="379"/>
      <c r="G44" s="379"/>
      <c r="H44" s="379"/>
      <c r="I44" s="379"/>
      <c r="J44" s="74" t="str">
        <f>IF(AND('Mapa final'!$Z$22="Baja",'Mapa final'!$AB$22="Leve"),CONCATENATE("R9C",'Mapa final'!$P$22),"")</f>
        <v>R9C1</v>
      </c>
      <c r="K44" s="75" t="str">
        <f>IF(AND('Mapa final'!$Z$23="Baja",'Mapa final'!$AB$23="Leve"),CONCATENATE("R9C",'Mapa final'!$P$23),"")</f>
        <v>R9C2</v>
      </c>
      <c r="L44" s="75" t="e">
        <f>IF(AND('Mapa final'!#REF!="Baja",'Mapa final'!#REF!="Leve"),CONCATENATE("R9C",'Mapa final'!#REF!),"")</f>
        <v>#REF!</v>
      </c>
      <c r="M44" s="75" t="e">
        <f>IF(AND('Mapa final'!#REF!="Baja",'Mapa final'!#REF!="Leve"),CONCATENATE("R9C",'Mapa final'!#REF!),"")</f>
        <v>#REF!</v>
      </c>
      <c r="N44" s="75" t="e">
        <f>IF(AND('Mapa final'!#REF!="Baja",'Mapa final'!#REF!="Leve"),CONCATENATE("R9C",'Mapa final'!#REF!),"")</f>
        <v>#REF!</v>
      </c>
      <c r="O44" s="76" t="e">
        <f>IF(AND('Mapa final'!#REF!="Baja",'Mapa final'!#REF!="Leve"),CONCATENATE("R9C",'Mapa final'!#REF!),"")</f>
        <v>#REF!</v>
      </c>
      <c r="P44" s="65" t="str">
        <f>IF(AND('Mapa final'!$Z$22="Baja",'Mapa final'!$AB$22="Menor"),CONCATENATE("R9C",'Mapa final'!$P$22),"")</f>
        <v/>
      </c>
      <c r="Q44" s="66" t="str">
        <f>IF(AND('Mapa final'!$Z$23="Baja",'Mapa final'!$AB$23="Menor"),CONCATENATE("R9C",'Mapa final'!$P$23),"")</f>
        <v/>
      </c>
      <c r="R44" s="66" t="e">
        <f>IF(AND('Mapa final'!#REF!="Baja",'Mapa final'!#REF!="Menor"),CONCATENATE("R9C",'Mapa final'!#REF!),"")</f>
        <v>#REF!</v>
      </c>
      <c r="S44" s="66" t="e">
        <f>IF(AND('Mapa final'!#REF!="Baja",'Mapa final'!#REF!="Menor"),CONCATENATE("R9C",'Mapa final'!#REF!),"")</f>
        <v>#REF!</v>
      </c>
      <c r="T44" s="66" t="e">
        <f>IF(AND('Mapa final'!#REF!="Baja",'Mapa final'!#REF!="Menor"),CONCATENATE("R9C",'Mapa final'!#REF!),"")</f>
        <v>#REF!</v>
      </c>
      <c r="U44" s="67" t="e">
        <f>IF(AND('Mapa final'!#REF!="Baja",'Mapa final'!#REF!="Menor"),CONCATENATE("R9C",'Mapa final'!#REF!),"")</f>
        <v>#REF!</v>
      </c>
      <c r="V44" s="65" t="str">
        <f>IF(AND('Mapa final'!$Z$22="Baja",'Mapa final'!$AB$22="Moderado"),CONCATENATE("R9C",'Mapa final'!$P$22),"")</f>
        <v/>
      </c>
      <c r="W44" s="66" t="str">
        <f>IF(AND('Mapa final'!$Z$23="Baja",'Mapa final'!$AB$23="Moderado"),CONCATENATE("R9C",'Mapa final'!$P$23),"")</f>
        <v/>
      </c>
      <c r="X44" s="66" t="e">
        <f>IF(AND('Mapa final'!#REF!="Baja",'Mapa final'!#REF!="Moderado"),CONCATENATE("R9C",'Mapa final'!#REF!),"")</f>
        <v>#REF!</v>
      </c>
      <c r="Y44" s="66" t="e">
        <f>IF(AND('Mapa final'!#REF!="Baja",'Mapa final'!#REF!="Moderado"),CONCATENATE("R9C",'Mapa final'!#REF!),"")</f>
        <v>#REF!</v>
      </c>
      <c r="Z44" s="66" t="e">
        <f>IF(AND('Mapa final'!#REF!="Baja",'Mapa final'!#REF!="Moderado"),CONCATENATE("R9C",'Mapa final'!#REF!),"")</f>
        <v>#REF!</v>
      </c>
      <c r="AA44" s="67" t="e">
        <f>IF(AND('Mapa final'!#REF!="Baja",'Mapa final'!#REF!="Moderado"),CONCATENATE("R9C",'Mapa final'!#REF!),"")</f>
        <v>#REF!</v>
      </c>
      <c r="AB44" s="50" t="str">
        <f>IF(AND('Mapa final'!$Z$22="Baja",'Mapa final'!$AB$22="Mayor"),CONCATENATE("R9C",'Mapa final'!$P$22),"")</f>
        <v/>
      </c>
      <c r="AC44" s="51" t="str">
        <f>IF(AND('Mapa final'!$Z$23="Baja",'Mapa final'!$AB$23="Mayor"),CONCATENATE("R9C",'Mapa final'!$P$23),"")</f>
        <v/>
      </c>
      <c r="AD44" s="51" t="e">
        <f>IF(AND('Mapa final'!#REF!="Baja",'Mapa final'!#REF!="Mayor"),CONCATENATE("R9C",'Mapa final'!#REF!),"")</f>
        <v>#REF!</v>
      </c>
      <c r="AE44" s="51" t="e">
        <f>IF(AND('Mapa final'!#REF!="Baja",'Mapa final'!#REF!="Mayor"),CONCATENATE("R9C",'Mapa final'!#REF!),"")</f>
        <v>#REF!</v>
      </c>
      <c r="AF44" s="51" t="e">
        <f>IF(AND('Mapa final'!#REF!="Baja",'Mapa final'!#REF!="Mayor"),CONCATENATE("R9C",'Mapa final'!#REF!),"")</f>
        <v>#REF!</v>
      </c>
      <c r="AG44" s="52" t="e">
        <f>IF(AND('Mapa final'!#REF!="Baja",'Mapa final'!#REF!="Mayor"),CONCATENATE("R9C",'Mapa final'!#REF!),"")</f>
        <v>#REF!</v>
      </c>
      <c r="AH44" s="53" t="str">
        <f>IF(AND('Mapa final'!$Z$22="Baja",'Mapa final'!$AB$22="Catastrófico"),CONCATENATE("R9C",'Mapa final'!$P$22),"")</f>
        <v/>
      </c>
      <c r="AI44" s="54" t="str">
        <f>IF(AND('Mapa final'!$Z$23="Baja",'Mapa final'!$AB$23="Catastrófico"),CONCATENATE("R9C",'Mapa final'!$P$23),"")</f>
        <v/>
      </c>
      <c r="AJ44" s="54" t="e">
        <f>IF(AND('Mapa final'!#REF!="Baja",'Mapa final'!#REF!="Catastrófico"),CONCATENATE("R9C",'Mapa final'!#REF!),"")</f>
        <v>#REF!</v>
      </c>
      <c r="AK44" s="54" t="e">
        <f>IF(AND('Mapa final'!#REF!="Baja",'Mapa final'!#REF!="Catastrófico"),CONCATENATE("R9C",'Mapa final'!#REF!),"")</f>
        <v>#REF!</v>
      </c>
      <c r="AL44" s="54" t="e">
        <f>IF(AND('Mapa final'!#REF!="Baja",'Mapa final'!#REF!="Catastrófico"),CONCATENATE("R9C",'Mapa final'!#REF!),"")</f>
        <v>#REF!</v>
      </c>
      <c r="AM44" s="55" t="e">
        <f>IF(AND('Mapa final'!#REF!="Baja",'Mapa final'!#REF!="Catastrófico"),CONCATENATE("R9C",'Mapa final'!#REF!),"")</f>
        <v>#REF!</v>
      </c>
      <c r="AN44" s="81"/>
      <c r="AO44" s="409"/>
      <c r="AP44" s="410"/>
      <c r="AQ44" s="410"/>
      <c r="AR44" s="410"/>
      <c r="AS44" s="410"/>
      <c r="AT44" s="41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337"/>
      <c r="C45" s="337"/>
      <c r="D45" s="338"/>
      <c r="E45" s="381"/>
      <c r="F45" s="382"/>
      <c r="G45" s="382"/>
      <c r="H45" s="382"/>
      <c r="I45" s="382"/>
      <c r="J45" s="77" t="str">
        <f>IF(AND('Mapa final'!$Z$24="Baja",'Mapa final'!$AB$24="Leve"),CONCATENATE("R10C",'Mapa final'!$P$24),"")</f>
        <v>R10C1</v>
      </c>
      <c r="K45" s="78" t="str">
        <f>IF(AND('Mapa final'!$Z$25="Baja",'Mapa final'!$AB$25="Leve"),CONCATENATE("R10C",'Mapa final'!$P$25),"")</f>
        <v/>
      </c>
      <c r="L45" s="78" t="e">
        <f>IF(AND('Mapa final'!#REF!="Baja",'Mapa final'!#REF!="Leve"),CONCATENATE("R10C",'Mapa final'!#REF!),"")</f>
        <v>#REF!</v>
      </c>
      <c r="M45" s="78" t="e">
        <f>IF(AND('Mapa final'!#REF!="Baja",'Mapa final'!#REF!="Leve"),CONCATENATE("R10C",'Mapa final'!#REF!),"")</f>
        <v>#REF!</v>
      </c>
      <c r="N45" s="78" t="e">
        <f>IF(AND('Mapa final'!#REF!="Baja",'Mapa final'!#REF!="Leve"),CONCATENATE("R10C",'Mapa final'!#REF!),"")</f>
        <v>#REF!</v>
      </c>
      <c r="O45" s="79" t="e">
        <f>IF(AND('Mapa final'!#REF!="Baja",'Mapa final'!#REF!="Leve"),CONCATENATE("R10C",'Mapa final'!#REF!),"")</f>
        <v>#REF!</v>
      </c>
      <c r="P45" s="65" t="str">
        <f>IF(AND('Mapa final'!$Z$24="Baja",'Mapa final'!$AB$24="Menor"),CONCATENATE("R10C",'Mapa final'!$P$24),"")</f>
        <v/>
      </c>
      <c r="Q45" s="66" t="str">
        <f>IF(AND('Mapa final'!$Z$25="Baja",'Mapa final'!$AB$25="Menor"),CONCATENATE("R10C",'Mapa final'!$P$25),"")</f>
        <v/>
      </c>
      <c r="R45" s="66" t="e">
        <f>IF(AND('Mapa final'!#REF!="Baja",'Mapa final'!#REF!="Menor"),CONCATENATE("R10C",'Mapa final'!#REF!),"")</f>
        <v>#REF!</v>
      </c>
      <c r="S45" s="66" t="e">
        <f>IF(AND('Mapa final'!#REF!="Baja",'Mapa final'!#REF!="Menor"),CONCATENATE("R10C",'Mapa final'!#REF!),"")</f>
        <v>#REF!</v>
      </c>
      <c r="T45" s="66" t="e">
        <f>IF(AND('Mapa final'!#REF!="Baja",'Mapa final'!#REF!="Menor"),CONCATENATE("R10C",'Mapa final'!#REF!),"")</f>
        <v>#REF!</v>
      </c>
      <c r="U45" s="67" t="e">
        <f>IF(AND('Mapa final'!#REF!="Baja",'Mapa final'!#REF!="Menor"),CONCATENATE("R10C",'Mapa final'!#REF!),"")</f>
        <v>#REF!</v>
      </c>
      <c r="V45" s="68" t="str">
        <f>IF(AND('Mapa final'!$Z$24="Baja",'Mapa final'!$AB$24="Moderado"),CONCATENATE("R10C",'Mapa final'!$P$24),"")</f>
        <v/>
      </c>
      <c r="W45" s="69" t="str">
        <f>IF(AND('Mapa final'!$Z$25="Baja",'Mapa final'!$AB$25="Moderado"),CONCATENATE("R10C",'Mapa final'!$P$25),"")</f>
        <v/>
      </c>
      <c r="X45" s="69" t="e">
        <f>IF(AND('Mapa final'!#REF!="Baja",'Mapa final'!#REF!="Moderado"),CONCATENATE("R10C",'Mapa final'!#REF!),"")</f>
        <v>#REF!</v>
      </c>
      <c r="Y45" s="69" t="e">
        <f>IF(AND('Mapa final'!#REF!="Baja",'Mapa final'!#REF!="Moderado"),CONCATENATE("R10C",'Mapa final'!#REF!),"")</f>
        <v>#REF!</v>
      </c>
      <c r="Z45" s="69" t="e">
        <f>IF(AND('Mapa final'!#REF!="Baja",'Mapa final'!#REF!="Moderado"),CONCATENATE("R10C",'Mapa final'!#REF!),"")</f>
        <v>#REF!</v>
      </c>
      <c r="AA45" s="70" t="e">
        <f>IF(AND('Mapa final'!#REF!="Baja",'Mapa final'!#REF!="Moderado"),CONCATENATE("R10C",'Mapa final'!#REF!),"")</f>
        <v>#REF!</v>
      </c>
      <c r="AB45" s="56" t="str">
        <f>IF(AND('Mapa final'!$Z$24="Baja",'Mapa final'!$AB$24="Mayor"),CONCATENATE("R10C",'Mapa final'!$P$24),"")</f>
        <v/>
      </c>
      <c r="AC45" s="57" t="str">
        <f>IF(AND('Mapa final'!$Z$25="Baja",'Mapa final'!$AB$25="Mayor"),CONCATENATE("R10C",'Mapa final'!$P$25),"")</f>
        <v/>
      </c>
      <c r="AD45" s="57" t="e">
        <f>IF(AND('Mapa final'!#REF!="Baja",'Mapa final'!#REF!="Mayor"),CONCATENATE("R10C",'Mapa final'!#REF!),"")</f>
        <v>#REF!</v>
      </c>
      <c r="AE45" s="57" t="e">
        <f>IF(AND('Mapa final'!#REF!="Baja",'Mapa final'!#REF!="Mayor"),CONCATENATE("R10C",'Mapa final'!#REF!),"")</f>
        <v>#REF!</v>
      </c>
      <c r="AF45" s="57" t="e">
        <f>IF(AND('Mapa final'!#REF!="Baja",'Mapa final'!#REF!="Mayor"),CONCATENATE("R10C",'Mapa final'!#REF!),"")</f>
        <v>#REF!</v>
      </c>
      <c r="AG45" s="58" t="e">
        <f>IF(AND('Mapa final'!#REF!="Baja",'Mapa final'!#REF!="Mayor"),CONCATENATE("R10C",'Mapa final'!#REF!),"")</f>
        <v>#REF!</v>
      </c>
      <c r="AH45" s="59" t="str">
        <f>IF(AND('Mapa final'!$Z$24="Baja",'Mapa final'!$AB$24="Catastrófico"),CONCATENATE("R10C",'Mapa final'!$P$24),"")</f>
        <v/>
      </c>
      <c r="AI45" s="60" t="str">
        <f>IF(AND('Mapa final'!$Z$25="Baja",'Mapa final'!$AB$25="Catastrófico"),CONCATENATE("R10C",'Mapa final'!$P$25),"")</f>
        <v/>
      </c>
      <c r="AJ45" s="60" t="e">
        <f>IF(AND('Mapa final'!#REF!="Baja",'Mapa final'!#REF!="Catastrófico"),CONCATENATE("R10C",'Mapa final'!#REF!),"")</f>
        <v>#REF!</v>
      </c>
      <c r="AK45" s="60" t="e">
        <f>IF(AND('Mapa final'!#REF!="Baja",'Mapa final'!#REF!="Catastrófico"),CONCATENATE("R10C",'Mapa final'!#REF!),"")</f>
        <v>#REF!</v>
      </c>
      <c r="AL45" s="60" t="e">
        <f>IF(AND('Mapa final'!#REF!="Baja",'Mapa final'!#REF!="Catastrófico"),CONCATENATE("R10C",'Mapa final'!#REF!),"")</f>
        <v>#REF!</v>
      </c>
      <c r="AM45" s="61" t="e">
        <f>IF(AND('Mapa final'!#REF!="Baja",'Mapa final'!#REF!="Catastrófico"),CONCATENATE("R10C",'Mapa final'!#REF!),"")</f>
        <v>#REF!</v>
      </c>
      <c r="AN45" s="81"/>
      <c r="AO45" s="412"/>
      <c r="AP45" s="413"/>
      <c r="AQ45" s="413"/>
      <c r="AR45" s="413"/>
      <c r="AS45" s="413"/>
      <c r="AT45" s="414"/>
    </row>
    <row r="46" spans="1:80" ht="46.5" customHeight="1" x14ac:dyDescent="0.35">
      <c r="A46" s="81"/>
      <c r="B46" s="337"/>
      <c r="C46" s="337"/>
      <c r="D46" s="338"/>
      <c r="E46" s="375" t="s">
        <v>111</v>
      </c>
      <c r="F46" s="376"/>
      <c r="G46" s="376"/>
      <c r="H46" s="376"/>
      <c r="I46" s="377"/>
      <c r="J46" s="71" t="str">
        <f>IF(AND('Mapa final'!$Z$7="Muy Baja",'Mapa final'!$AB$7="Leve"),CONCATENATE("R1C",'Mapa final'!$P$7),"")</f>
        <v/>
      </c>
      <c r="K46" s="72" t="str">
        <f>IF(AND('Mapa final'!$Z$8="Muy Baja",'Mapa final'!$AB$8="Leve"),CONCATENATE("R1C",'Mapa final'!$P$8),"")</f>
        <v>R1C2</v>
      </c>
      <c r="L46" s="72" t="e">
        <f>IF(AND('Mapa final'!#REF!="Muy Baja",'Mapa final'!#REF!="Leve"),CONCATENATE("R1C",'Mapa final'!#REF!),"")</f>
        <v>#REF!</v>
      </c>
      <c r="M46" s="72" t="e">
        <f>IF(AND('Mapa final'!#REF!="Muy Baja",'Mapa final'!#REF!="Leve"),CONCATENATE("R1C",'Mapa final'!#REF!),"")</f>
        <v>#REF!</v>
      </c>
      <c r="N46" s="72" t="e">
        <f>IF(AND('Mapa final'!#REF!="Muy Baja",'Mapa final'!#REF!="Leve"),CONCATENATE("R1C",'Mapa final'!#REF!),"")</f>
        <v>#REF!</v>
      </c>
      <c r="O46" s="73" t="e">
        <f>IF(AND('Mapa final'!#REF!="Muy Baja",'Mapa final'!#REF!="Leve"),CONCATENATE("R1C",'Mapa final'!#REF!),"")</f>
        <v>#REF!</v>
      </c>
      <c r="P46" s="71" t="str">
        <f>IF(AND('Mapa final'!$Z$7="Muy Baja",'Mapa final'!$AB$7="Menor"),CONCATENATE("R1C",'Mapa final'!$P$7),"")</f>
        <v/>
      </c>
      <c r="Q46" s="72" t="str">
        <f>IF(AND('Mapa final'!$Z$8="Muy Baja",'Mapa final'!$AB$8="Menor"),CONCATENATE("R1C",'Mapa final'!$P$8),"")</f>
        <v/>
      </c>
      <c r="R46" s="72" t="e">
        <f>IF(AND('Mapa final'!#REF!="Muy Baja",'Mapa final'!#REF!="Menor"),CONCATENATE("R1C",'Mapa final'!#REF!),"")</f>
        <v>#REF!</v>
      </c>
      <c r="S46" s="72" t="e">
        <f>IF(AND('Mapa final'!#REF!="Muy Baja",'Mapa final'!#REF!="Menor"),CONCATENATE("R1C",'Mapa final'!#REF!),"")</f>
        <v>#REF!</v>
      </c>
      <c r="T46" s="72" t="e">
        <f>IF(AND('Mapa final'!#REF!="Muy Baja",'Mapa final'!#REF!="Menor"),CONCATENATE("R1C",'Mapa final'!#REF!),"")</f>
        <v>#REF!</v>
      </c>
      <c r="U46" s="73" t="e">
        <f>IF(AND('Mapa final'!#REF!="Muy Baja",'Mapa final'!#REF!="Menor"),CONCATENATE("R1C",'Mapa final'!#REF!),"")</f>
        <v>#REF!</v>
      </c>
      <c r="V46" s="62" t="str">
        <f>IF(AND('Mapa final'!$Z$7="Muy Baja",'Mapa final'!$AB$7="Moderado"),CONCATENATE("R1C",'Mapa final'!$P$7),"")</f>
        <v/>
      </c>
      <c r="W46" s="80" t="str">
        <f>IF(AND('Mapa final'!$Z$8="Muy Baja",'Mapa final'!$AB$8="Moderado"),CONCATENATE("R1C",'Mapa final'!$P$8),"")</f>
        <v/>
      </c>
      <c r="X46" s="63" t="e">
        <f>IF(AND('Mapa final'!#REF!="Muy Baja",'Mapa final'!#REF!="Moderado"),CONCATENATE("R1C",'Mapa final'!#REF!),"")</f>
        <v>#REF!</v>
      </c>
      <c r="Y46" s="63" t="e">
        <f>IF(AND('Mapa final'!#REF!="Muy Baja",'Mapa final'!#REF!="Moderado"),CONCATENATE("R1C",'Mapa final'!#REF!),"")</f>
        <v>#REF!</v>
      </c>
      <c r="Z46" s="63" t="e">
        <f>IF(AND('Mapa final'!#REF!="Muy Baja",'Mapa final'!#REF!="Moderado"),CONCATENATE("R1C",'Mapa final'!#REF!),"")</f>
        <v>#REF!</v>
      </c>
      <c r="AA46" s="64" t="e">
        <f>IF(AND('Mapa final'!#REF!="Muy Baja",'Mapa final'!#REF!="Moderado"),CONCATENATE("R1C",'Mapa final'!#REF!),"")</f>
        <v>#REF!</v>
      </c>
      <c r="AB46" s="44" t="str">
        <f>IF(AND('Mapa final'!$Z$7="Muy Baja",'Mapa final'!$AB$7="Mayor"),CONCATENATE("R1C",'Mapa final'!$P$7),"")</f>
        <v/>
      </c>
      <c r="AC46" s="45" t="str">
        <f>IF(AND('Mapa final'!$Z$8="Muy Baja",'Mapa final'!$AB$8="Mayor"),CONCATENATE("R1C",'Mapa final'!$P$8),"")</f>
        <v/>
      </c>
      <c r="AD46" s="45" t="e">
        <f>IF(AND('Mapa final'!#REF!="Muy Baja",'Mapa final'!#REF!="Mayor"),CONCATENATE("R1C",'Mapa final'!#REF!),"")</f>
        <v>#REF!</v>
      </c>
      <c r="AE46" s="45" t="e">
        <f>IF(AND('Mapa final'!#REF!="Muy Baja",'Mapa final'!#REF!="Mayor"),CONCATENATE("R1C",'Mapa final'!#REF!),"")</f>
        <v>#REF!</v>
      </c>
      <c r="AF46" s="45" t="e">
        <f>IF(AND('Mapa final'!#REF!="Muy Baja",'Mapa final'!#REF!="Mayor"),CONCATENATE("R1C",'Mapa final'!#REF!),"")</f>
        <v>#REF!</v>
      </c>
      <c r="AG46" s="46" t="e">
        <f>IF(AND('Mapa final'!#REF!="Muy Baja",'Mapa final'!#REF!="Mayor"),CONCATENATE("R1C",'Mapa final'!#REF!),"")</f>
        <v>#REF!</v>
      </c>
      <c r="AH46" s="47" t="str">
        <f>IF(AND('Mapa final'!$Z$7="Muy Baja",'Mapa final'!$AB$7="Catastrófico"),CONCATENATE("R1C",'Mapa final'!$P$7),"")</f>
        <v/>
      </c>
      <c r="AI46" s="48" t="str">
        <f>IF(AND('Mapa final'!$Z$8="Muy Baja",'Mapa final'!$AB$8="Catastrófico"),CONCATENATE("R1C",'Mapa final'!$P$8),"")</f>
        <v/>
      </c>
      <c r="AJ46" s="48" t="e">
        <f>IF(AND('Mapa final'!#REF!="Muy Baja",'Mapa final'!#REF!="Catastrófico"),CONCATENATE("R1C",'Mapa final'!#REF!),"")</f>
        <v>#REF!</v>
      </c>
      <c r="AK46" s="48" t="e">
        <f>IF(AND('Mapa final'!#REF!="Muy Baja",'Mapa final'!#REF!="Catastrófico"),CONCATENATE("R1C",'Mapa final'!#REF!),"")</f>
        <v>#REF!</v>
      </c>
      <c r="AL46" s="48" t="e">
        <f>IF(AND('Mapa final'!#REF!="Muy Baja",'Mapa final'!#REF!="Catastrófico"),CONCATENATE("R1C",'Mapa final'!#REF!),"")</f>
        <v>#REF!</v>
      </c>
      <c r="AM46" s="49" t="e">
        <f>IF(AND('Mapa final'!#REF!="Muy Baja",'Mapa final'!#REF!="Catastrófico"),CONCATENATE("R1C",'Mapa final'!#REF!),"")</f>
        <v>#REF!</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337"/>
      <c r="C47" s="337"/>
      <c r="D47" s="338"/>
      <c r="E47" s="394"/>
      <c r="F47" s="379"/>
      <c r="G47" s="379"/>
      <c r="H47" s="379"/>
      <c r="I47" s="380"/>
      <c r="J47" s="74" t="str">
        <f>IF(AND('Mapa final'!$Z$9="Muy Baja",'Mapa final'!$AB$9="Leve"),CONCATENATE("R2C",'Mapa final'!$P$9),"")</f>
        <v/>
      </c>
      <c r="K47" s="75" t="str">
        <f>IF(AND('Mapa final'!$Z$10="Muy Baja",'Mapa final'!$AB$10="Leve"),CONCATENATE("R2C",'Mapa final'!$P$10),"")</f>
        <v/>
      </c>
      <c r="L47" s="75" t="e">
        <f>IF(AND('Mapa final'!#REF!="Muy Baja",'Mapa final'!#REF!="Leve"),CONCATENATE("R2C",'Mapa final'!#REF!),"")</f>
        <v>#REF!</v>
      </c>
      <c r="M47" s="75" t="e">
        <f>IF(AND('Mapa final'!#REF!="Muy Baja",'Mapa final'!#REF!="Leve"),CONCATENATE("R2C",'Mapa final'!#REF!),"")</f>
        <v>#REF!</v>
      </c>
      <c r="N47" s="75" t="e">
        <f>IF(AND('Mapa final'!#REF!="Muy Baja",'Mapa final'!#REF!="Leve"),CONCATENATE("R2C",'Mapa final'!#REF!),"")</f>
        <v>#REF!</v>
      </c>
      <c r="O47" s="76" t="e">
        <f>IF(AND('Mapa final'!#REF!="Muy Baja",'Mapa final'!#REF!="Leve"),CONCATENATE("R2C",'Mapa final'!#REF!),"")</f>
        <v>#REF!</v>
      </c>
      <c r="P47" s="74" t="str">
        <f>IF(AND('Mapa final'!$Z$9="Muy Baja",'Mapa final'!$AB$9="Menor"),CONCATENATE("R2C",'Mapa final'!$P$9),"")</f>
        <v/>
      </c>
      <c r="Q47" s="75" t="str">
        <f>IF(AND('Mapa final'!$Z$10="Muy Baja",'Mapa final'!$AB$10="Menor"),CONCATENATE("R2C",'Mapa final'!$P$10),"")</f>
        <v/>
      </c>
      <c r="R47" s="75" t="e">
        <f>IF(AND('Mapa final'!#REF!="Muy Baja",'Mapa final'!#REF!="Menor"),CONCATENATE("R2C",'Mapa final'!#REF!),"")</f>
        <v>#REF!</v>
      </c>
      <c r="S47" s="75" t="e">
        <f>IF(AND('Mapa final'!#REF!="Muy Baja",'Mapa final'!#REF!="Menor"),CONCATENATE("R2C",'Mapa final'!#REF!),"")</f>
        <v>#REF!</v>
      </c>
      <c r="T47" s="75" t="e">
        <f>IF(AND('Mapa final'!#REF!="Muy Baja",'Mapa final'!#REF!="Menor"),CONCATENATE("R2C",'Mapa final'!#REF!),"")</f>
        <v>#REF!</v>
      </c>
      <c r="U47" s="76" t="e">
        <f>IF(AND('Mapa final'!#REF!="Muy Baja",'Mapa final'!#REF!="Menor"),CONCATENATE("R2C",'Mapa final'!#REF!),"")</f>
        <v>#REF!</v>
      </c>
      <c r="V47" s="65" t="str">
        <f>IF(AND('Mapa final'!$Z$9="Muy Baja",'Mapa final'!$AB$9="Moderado"),CONCATENATE("R2C",'Mapa final'!$P$9),"")</f>
        <v/>
      </c>
      <c r="W47" s="66" t="str">
        <f>IF(AND('Mapa final'!$Z$10="Muy Baja",'Mapa final'!$AB$10="Moderado"),CONCATENATE("R2C",'Mapa final'!$P$10),"")</f>
        <v>R2C2</v>
      </c>
      <c r="X47" s="66" t="e">
        <f>IF(AND('Mapa final'!#REF!="Muy Baja",'Mapa final'!#REF!="Moderado"),CONCATENATE("R2C",'Mapa final'!#REF!),"")</f>
        <v>#REF!</v>
      </c>
      <c r="Y47" s="66" t="e">
        <f>IF(AND('Mapa final'!#REF!="Muy Baja",'Mapa final'!#REF!="Moderado"),CONCATENATE("R2C",'Mapa final'!#REF!),"")</f>
        <v>#REF!</v>
      </c>
      <c r="Z47" s="66" t="e">
        <f>IF(AND('Mapa final'!#REF!="Muy Baja",'Mapa final'!#REF!="Moderado"),CONCATENATE("R2C",'Mapa final'!#REF!),"")</f>
        <v>#REF!</v>
      </c>
      <c r="AA47" s="67" t="e">
        <f>IF(AND('Mapa final'!#REF!="Muy Baja",'Mapa final'!#REF!="Moderado"),CONCATENATE("R2C",'Mapa final'!#REF!),"")</f>
        <v>#REF!</v>
      </c>
      <c r="AB47" s="50" t="str">
        <f>IF(AND('Mapa final'!$Z$9="Muy Baja",'Mapa final'!$AB$9="Mayor"),CONCATENATE("R2C",'Mapa final'!$P$9),"")</f>
        <v/>
      </c>
      <c r="AC47" s="51" t="str">
        <f>IF(AND('Mapa final'!$Z$10="Muy Baja",'Mapa final'!$AB$10="Mayor"),CONCATENATE("R2C",'Mapa final'!$P$10),"")</f>
        <v/>
      </c>
      <c r="AD47" s="51" t="e">
        <f>IF(AND('Mapa final'!#REF!="Muy Baja",'Mapa final'!#REF!="Mayor"),CONCATENATE("R2C",'Mapa final'!#REF!),"")</f>
        <v>#REF!</v>
      </c>
      <c r="AE47" s="51" t="e">
        <f>IF(AND('Mapa final'!#REF!="Muy Baja",'Mapa final'!#REF!="Mayor"),CONCATENATE("R2C",'Mapa final'!#REF!),"")</f>
        <v>#REF!</v>
      </c>
      <c r="AF47" s="51" t="e">
        <f>IF(AND('Mapa final'!#REF!="Muy Baja",'Mapa final'!#REF!="Mayor"),CONCATENATE("R2C",'Mapa final'!#REF!),"")</f>
        <v>#REF!</v>
      </c>
      <c r="AG47" s="52" t="e">
        <f>IF(AND('Mapa final'!#REF!="Muy Baja",'Mapa final'!#REF!="Mayor"),CONCATENATE("R2C",'Mapa final'!#REF!),"")</f>
        <v>#REF!</v>
      </c>
      <c r="AH47" s="53" t="str">
        <f>IF(AND('Mapa final'!$Z$9="Muy Baja",'Mapa final'!$AB$9="Catastrófico"),CONCATENATE("R2C",'Mapa final'!$P$9),"")</f>
        <v/>
      </c>
      <c r="AI47" s="54" t="str">
        <f>IF(AND('Mapa final'!$Z$10="Muy Baja",'Mapa final'!$AB$10="Catastrófico"),CONCATENATE("R2C",'Mapa final'!$P$10),"")</f>
        <v/>
      </c>
      <c r="AJ47" s="54" t="e">
        <f>IF(AND('Mapa final'!#REF!="Muy Baja",'Mapa final'!#REF!="Catastrófico"),CONCATENATE("R2C",'Mapa final'!#REF!),"")</f>
        <v>#REF!</v>
      </c>
      <c r="AK47" s="54" t="e">
        <f>IF(AND('Mapa final'!#REF!="Muy Baja",'Mapa final'!#REF!="Catastrófico"),CONCATENATE("R2C",'Mapa final'!#REF!),"")</f>
        <v>#REF!</v>
      </c>
      <c r="AL47" s="54" t="e">
        <f>IF(AND('Mapa final'!#REF!="Muy Baja",'Mapa final'!#REF!="Catastrófico"),CONCATENATE("R2C",'Mapa final'!#REF!),"")</f>
        <v>#REF!</v>
      </c>
      <c r="AM47" s="55" t="e">
        <f>IF(AND('Mapa final'!#REF!="Muy Baja",'Mapa final'!#REF!="Catastrófico"),CONCATENATE("R2C",'Mapa final'!#REF!),"")</f>
        <v>#REF!</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337"/>
      <c r="C48" s="337"/>
      <c r="D48" s="338"/>
      <c r="E48" s="394"/>
      <c r="F48" s="379"/>
      <c r="G48" s="379"/>
      <c r="H48" s="379"/>
      <c r="I48" s="380"/>
      <c r="J48" s="74" t="str">
        <f>IF(AND('Mapa final'!$Z$11="Muy Baja",'Mapa final'!$AB$11="Leve"),CONCATENATE("R3C",'Mapa final'!$P$11),"")</f>
        <v/>
      </c>
      <c r="K48" s="75" t="e">
        <f>IF(AND('Mapa final'!#REF!="Muy Baja",'Mapa final'!#REF!="Leve"),CONCATENATE("R3C",'Mapa final'!#REF!),"")</f>
        <v>#REF!</v>
      </c>
      <c r="L48" s="75" t="e">
        <f>IF(AND('Mapa final'!#REF!="Muy Baja",'Mapa final'!#REF!="Leve"),CONCATENATE("R3C",'Mapa final'!#REF!),"")</f>
        <v>#REF!</v>
      </c>
      <c r="M48" s="75" t="e">
        <f>IF(AND('Mapa final'!#REF!="Muy Baja",'Mapa final'!#REF!="Leve"),CONCATENATE("R3C",'Mapa final'!#REF!),"")</f>
        <v>#REF!</v>
      </c>
      <c r="N48" s="75" t="e">
        <f>IF(AND('Mapa final'!#REF!="Muy Baja",'Mapa final'!#REF!="Leve"),CONCATENATE("R3C",'Mapa final'!#REF!),"")</f>
        <v>#REF!</v>
      </c>
      <c r="O48" s="76" t="e">
        <f>IF(AND('Mapa final'!#REF!="Muy Baja",'Mapa final'!#REF!="Leve"),CONCATENATE("R3C",'Mapa final'!#REF!),"")</f>
        <v>#REF!</v>
      </c>
      <c r="P48" s="74" t="str">
        <f>IF(AND('Mapa final'!$Z$11="Muy Baja",'Mapa final'!$AB$11="Menor"),CONCATENATE("R3C",'Mapa final'!$P$11),"")</f>
        <v/>
      </c>
      <c r="Q48" s="75" t="e">
        <f>IF(AND('Mapa final'!#REF!="Muy Baja",'Mapa final'!#REF!="Menor"),CONCATENATE("R3C",'Mapa final'!#REF!),"")</f>
        <v>#REF!</v>
      </c>
      <c r="R48" s="75" t="e">
        <f>IF(AND('Mapa final'!#REF!="Muy Baja",'Mapa final'!#REF!="Menor"),CONCATENATE("R3C",'Mapa final'!#REF!),"")</f>
        <v>#REF!</v>
      </c>
      <c r="S48" s="75" t="e">
        <f>IF(AND('Mapa final'!#REF!="Muy Baja",'Mapa final'!#REF!="Menor"),CONCATENATE("R3C",'Mapa final'!#REF!),"")</f>
        <v>#REF!</v>
      </c>
      <c r="T48" s="75" t="e">
        <f>IF(AND('Mapa final'!#REF!="Muy Baja",'Mapa final'!#REF!="Menor"),CONCATENATE("R3C",'Mapa final'!#REF!),"")</f>
        <v>#REF!</v>
      </c>
      <c r="U48" s="76" t="e">
        <f>IF(AND('Mapa final'!#REF!="Muy Baja",'Mapa final'!#REF!="Menor"),CONCATENATE("R3C",'Mapa final'!#REF!),"")</f>
        <v>#REF!</v>
      </c>
      <c r="V48" s="65" t="str">
        <f>IF(AND('Mapa final'!$Z$11="Muy Baja",'Mapa final'!$AB$11="Moderado"),CONCATENATE("R3C",'Mapa final'!$P$11),"")</f>
        <v>R3C1</v>
      </c>
      <c r="W48" s="66" t="e">
        <f>IF(AND('Mapa final'!#REF!="Muy Baja",'Mapa final'!#REF!="Moderado"),CONCATENATE("R3C",'Mapa final'!#REF!),"")</f>
        <v>#REF!</v>
      </c>
      <c r="X48" s="66" t="e">
        <f>IF(AND('Mapa final'!#REF!="Muy Baja",'Mapa final'!#REF!="Moderado"),CONCATENATE("R3C",'Mapa final'!#REF!),"")</f>
        <v>#REF!</v>
      </c>
      <c r="Y48" s="66" t="e">
        <f>IF(AND('Mapa final'!#REF!="Muy Baja",'Mapa final'!#REF!="Moderado"),CONCATENATE("R3C",'Mapa final'!#REF!),"")</f>
        <v>#REF!</v>
      </c>
      <c r="Z48" s="66" t="e">
        <f>IF(AND('Mapa final'!#REF!="Muy Baja",'Mapa final'!#REF!="Moderado"),CONCATENATE("R3C",'Mapa final'!#REF!),"")</f>
        <v>#REF!</v>
      </c>
      <c r="AA48" s="67" t="e">
        <f>IF(AND('Mapa final'!#REF!="Muy Baja",'Mapa final'!#REF!="Moderado"),CONCATENATE("R3C",'Mapa final'!#REF!),"")</f>
        <v>#REF!</v>
      </c>
      <c r="AB48" s="50" t="str">
        <f>IF(AND('Mapa final'!$Z$11="Muy Baja",'Mapa final'!$AB$11="Mayor"),CONCATENATE("R3C",'Mapa final'!$P$11),"")</f>
        <v/>
      </c>
      <c r="AC48" s="51" t="e">
        <f>IF(AND('Mapa final'!#REF!="Muy Baja",'Mapa final'!#REF!="Mayor"),CONCATENATE("R3C",'Mapa final'!#REF!),"")</f>
        <v>#REF!</v>
      </c>
      <c r="AD48" s="51" t="e">
        <f>IF(AND('Mapa final'!#REF!="Muy Baja",'Mapa final'!#REF!="Mayor"),CONCATENATE("R3C",'Mapa final'!#REF!),"")</f>
        <v>#REF!</v>
      </c>
      <c r="AE48" s="51" t="e">
        <f>IF(AND('Mapa final'!#REF!="Muy Baja",'Mapa final'!#REF!="Mayor"),CONCATENATE("R3C",'Mapa final'!#REF!),"")</f>
        <v>#REF!</v>
      </c>
      <c r="AF48" s="51" t="e">
        <f>IF(AND('Mapa final'!#REF!="Muy Baja",'Mapa final'!#REF!="Mayor"),CONCATENATE("R3C",'Mapa final'!#REF!),"")</f>
        <v>#REF!</v>
      </c>
      <c r="AG48" s="52" t="e">
        <f>IF(AND('Mapa final'!#REF!="Muy Baja",'Mapa final'!#REF!="Mayor"),CONCATENATE("R3C",'Mapa final'!#REF!),"")</f>
        <v>#REF!</v>
      </c>
      <c r="AH48" s="53" t="str">
        <f>IF(AND('Mapa final'!$Z$11="Muy Baja",'Mapa final'!$AB$11="Catastrófico"),CONCATENATE("R3C",'Mapa final'!$P$11),"")</f>
        <v/>
      </c>
      <c r="AI48" s="54" t="e">
        <f>IF(AND('Mapa final'!#REF!="Muy Baja",'Mapa final'!#REF!="Catastrófico"),CONCATENATE("R3C",'Mapa final'!#REF!),"")</f>
        <v>#REF!</v>
      </c>
      <c r="AJ48" s="54" t="e">
        <f>IF(AND('Mapa final'!#REF!="Muy Baja",'Mapa final'!#REF!="Catastrófico"),CONCATENATE("R3C",'Mapa final'!#REF!),"")</f>
        <v>#REF!</v>
      </c>
      <c r="AK48" s="54" t="e">
        <f>IF(AND('Mapa final'!#REF!="Muy Baja",'Mapa final'!#REF!="Catastrófico"),CONCATENATE("R3C",'Mapa final'!#REF!),"")</f>
        <v>#REF!</v>
      </c>
      <c r="AL48" s="54" t="e">
        <f>IF(AND('Mapa final'!#REF!="Muy Baja",'Mapa final'!#REF!="Catastrófico"),CONCATENATE("R3C",'Mapa final'!#REF!),"")</f>
        <v>#REF!</v>
      </c>
      <c r="AM48" s="55" t="e">
        <f>IF(AND('Mapa final'!#REF!="Muy Baja",'Mapa final'!#REF!="Catastrófico"),CONCATENATE("R3C",'Mapa final'!#REF!),"")</f>
        <v>#REF!</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337"/>
      <c r="C49" s="337"/>
      <c r="D49" s="338"/>
      <c r="E49" s="378"/>
      <c r="F49" s="379"/>
      <c r="G49" s="379"/>
      <c r="H49" s="379"/>
      <c r="I49" s="380"/>
      <c r="J49" s="74" t="str">
        <f>IF(AND('Mapa final'!$Z$12="Muy Baja",'Mapa final'!$AB$12="Leve"),CONCATENATE("R4C",'Mapa final'!$P$12),"")</f>
        <v/>
      </c>
      <c r="K49" s="75" t="e">
        <f>IF(AND('Mapa final'!#REF!="Muy Baja",'Mapa final'!#REF!="Leve"),CONCATENATE("R4C",'Mapa final'!#REF!),"")</f>
        <v>#REF!</v>
      </c>
      <c r="L49" s="75" t="e">
        <f>IF(AND('Mapa final'!#REF!="Muy Baja",'Mapa final'!#REF!="Leve"),CONCATENATE("R4C",'Mapa final'!#REF!),"")</f>
        <v>#REF!</v>
      </c>
      <c r="M49" s="75" t="e">
        <f>IF(AND('Mapa final'!#REF!="Muy Baja",'Mapa final'!#REF!="Leve"),CONCATENATE("R4C",'Mapa final'!#REF!),"")</f>
        <v>#REF!</v>
      </c>
      <c r="N49" s="75" t="e">
        <f>IF(AND('Mapa final'!#REF!="Muy Baja",'Mapa final'!#REF!="Leve"),CONCATENATE("R4C",'Mapa final'!#REF!),"")</f>
        <v>#REF!</v>
      </c>
      <c r="O49" s="76" t="e">
        <f>IF(AND('Mapa final'!#REF!="Muy Baja",'Mapa final'!#REF!="Leve"),CONCATENATE("R4C",'Mapa final'!#REF!),"")</f>
        <v>#REF!</v>
      </c>
      <c r="P49" s="74" t="str">
        <f>IF(AND('Mapa final'!$Z$12="Muy Baja",'Mapa final'!$AB$12="Menor"),CONCATENATE("R4C",'Mapa final'!$P$12),"")</f>
        <v/>
      </c>
      <c r="Q49" s="75" t="e">
        <f>IF(AND('Mapa final'!#REF!="Muy Baja",'Mapa final'!#REF!="Menor"),CONCATENATE("R4C",'Mapa final'!#REF!),"")</f>
        <v>#REF!</v>
      </c>
      <c r="R49" s="75" t="e">
        <f>IF(AND('Mapa final'!#REF!="Muy Baja",'Mapa final'!#REF!="Menor"),CONCATENATE("R4C",'Mapa final'!#REF!),"")</f>
        <v>#REF!</v>
      </c>
      <c r="S49" s="75" t="e">
        <f>IF(AND('Mapa final'!#REF!="Muy Baja",'Mapa final'!#REF!="Menor"),CONCATENATE("R4C",'Mapa final'!#REF!),"")</f>
        <v>#REF!</v>
      </c>
      <c r="T49" s="75" t="e">
        <f>IF(AND('Mapa final'!#REF!="Muy Baja",'Mapa final'!#REF!="Menor"),CONCATENATE("R4C",'Mapa final'!#REF!),"")</f>
        <v>#REF!</v>
      </c>
      <c r="U49" s="76" t="e">
        <f>IF(AND('Mapa final'!#REF!="Muy Baja",'Mapa final'!#REF!="Menor"),CONCATENATE("R4C",'Mapa final'!#REF!),"")</f>
        <v>#REF!</v>
      </c>
      <c r="V49" s="65" t="str">
        <f>IF(AND('Mapa final'!$Z$12="Muy Baja",'Mapa final'!$AB$12="Moderado"),CONCATENATE("R4C",'Mapa final'!$P$12),"")</f>
        <v/>
      </c>
      <c r="W49" s="66" t="e">
        <f>IF(AND('Mapa final'!#REF!="Muy Baja",'Mapa final'!#REF!="Moderado"),CONCATENATE("R4C",'Mapa final'!#REF!),"")</f>
        <v>#REF!</v>
      </c>
      <c r="X49" s="66" t="e">
        <f>IF(AND('Mapa final'!#REF!="Muy Baja",'Mapa final'!#REF!="Moderado"),CONCATENATE("R4C",'Mapa final'!#REF!),"")</f>
        <v>#REF!</v>
      </c>
      <c r="Y49" s="66" t="e">
        <f>IF(AND('Mapa final'!#REF!="Muy Baja",'Mapa final'!#REF!="Moderado"),CONCATENATE("R4C",'Mapa final'!#REF!),"")</f>
        <v>#REF!</v>
      </c>
      <c r="Z49" s="66" t="e">
        <f>IF(AND('Mapa final'!#REF!="Muy Baja",'Mapa final'!#REF!="Moderado"),CONCATENATE("R4C",'Mapa final'!#REF!),"")</f>
        <v>#REF!</v>
      </c>
      <c r="AA49" s="67" t="e">
        <f>IF(AND('Mapa final'!#REF!="Muy Baja",'Mapa final'!#REF!="Moderado"),CONCATENATE("R4C",'Mapa final'!#REF!),"")</f>
        <v>#REF!</v>
      </c>
      <c r="AB49" s="50" t="str">
        <f>IF(AND('Mapa final'!$Z$12="Muy Baja",'Mapa final'!$AB$12="Mayor"),CONCATENATE("R4C",'Mapa final'!$P$12),"")</f>
        <v/>
      </c>
      <c r="AC49" s="51" t="e">
        <f>IF(AND('Mapa final'!#REF!="Muy Baja",'Mapa final'!#REF!="Mayor"),CONCATENATE("R4C",'Mapa final'!#REF!),"")</f>
        <v>#REF!</v>
      </c>
      <c r="AD49" s="51" t="e">
        <f>IF(AND('Mapa final'!#REF!="Muy Baja",'Mapa final'!#REF!="Mayor"),CONCATENATE("R4C",'Mapa final'!#REF!),"")</f>
        <v>#REF!</v>
      </c>
      <c r="AE49" s="51" t="e">
        <f>IF(AND('Mapa final'!#REF!="Muy Baja",'Mapa final'!#REF!="Mayor"),CONCATENATE("R4C",'Mapa final'!#REF!),"")</f>
        <v>#REF!</v>
      </c>
      <c r="AF49" s="51" t="e">
        <f>IF(AND('Mapa final'!#REF!="Muy Baja",'Mapa final'!#REF!="Mayor"),CONCATENATE("R4C",'Mapa final'!#REF!),"")</f>
        <v>#REF!</v>
      </c>
      <c r="AG49" s="52" t="e">
        <f>IF(AND('Mapa final'!#REF!="Muy Baja",'Mapa final'!#REF!="Mayor"),CONCATENATE("R4C",'Mapa final'!#REF!),"")</f>
        <v>#REF!</v>
      </c>
      <c r="AH49" s="53" t="str">
        <f>IF(AND('Mapa final'!$Z$12="Muy Baja",'Mapa final'!$AB$12="Catastrófico"),CONCATENATE("R4C",'Mapa final'!$P$12),"")</f>
        <v/>
      </c>
      <c r="AI49" s="54" t="e">
        <f>IF(AND('Mapa final'!#REF!="Muy Baja",'Mapa final'!#REF!="Catastrófico"),CONCATENATE("R4C",'Mapa final'!#REF!),"")</f>
        <v>#REF!</v>
      </c>
      <c r="AJ49" s="54" t="e">
        <f>IF(AND('Mapa final'!#REF!="Muy Baja",'Mapa final'!#REF!="Catastrófico"),CONCATENATE("R4C",'Mapa final'!#REF!),"")</f>
        <v>#REF!</v>
      </c>
      <c r="AK49" s="54" t="e">
        <f>IF(AND('Mapa final'!#REF!="Muy Baja",'Mapa final'!#REF!="Catastrófico"),CONCATENATE("R4C",'Mapa final'!#REF!),"")</f>
        <v>#REF!</v>
      </c>
      <c r="AL49" s="54" t="e">
        <f>IF(AND('Mapa final'!#REF!="Muy Baja",'Mapa final'!#REF!="Catastrófico"),CONCATENATE("R4C",'Mapa final'!#REF!),"")</f>
        <v>#REF!</v>
      </c>
      <c r="AM49" s="55" t="e">
        <f>IF(AND('Mapa final'!#REF!="Muy Baja",'Mapa final'!#REF!="Catastrófico"),CONCATENATE("R4C",'Mapa final'!#REF!),"")</f>
        <v>#REF!</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337"/>
      <c r="C50" s="337"/>
      <c r="D50" s="338"/>
      <c r="E50" s="378"/>
      <c r="F50" s="379"/>
      <c r="G50" s="379"/>
      <c r="H50" s="379"/>
      <c r="I50" s="380"/>
      <c r="J50" s="74" t="str">
        <f>IF(AND('Mapa final'!$Z$13="Muy Baja",'Mapa final'!$AB$13="Leve"),CONCATENATE("R5C",'Mapa final'!$P$13),"")</f>
        <v/>
      </c>
      <c r="K50" s="75" t="str">
        <f>IF(AND('Mapa final'!$Z$14="Muy Baja",'Mapa final'!$AB$14="Leve"),CONCATENATE("R5C",'Mapa final'!$P$14),"")</f>
        <v/>
      </c>
      <c r="L50" s="75" t="e">
        <f>IF(AND('Mapa final'!#REF!="Muy Baja",'Mapa final'!#REF!="Leve"),CONCATENATE("R5C",'Mapa final'!#REF!),"")</f>
        <v>#REF!</v>
      </c>
      <c r="M50" s="75" t="e">
        <f>IF(AND('Mapa final'!#REF!="Muy Baja",'Mapa final'!#REF!="Leve"),CONCATENATE("R5C",'Mapa final'!#REF!),"")</f>
        <v>#REF!</v>
      </c>
      <c r="N50" s="75" t="e">
        <f>IF(AND('Mapa final'!#REF!="Muy Baja",'Mapa final'!#REF!="Leve"),CONCATENATE("R5C",'Mapa final'!#REF!),"")</f>
        <v>#REF!</v>
      </c>
      <c r="O50" s="76" t="e">
        <f>IF(AND('Mapa final'!#REF!="Muy Baja",'Mapa final'!#REF!="Leve"),CONCATENATE("R5C",'Mapa final'!#REF!),"")</f>
        <v>#REF!</v>
      </c>
      <c r="P50" s="74" t="str">
        <f>IF(AND('Mapa final'!$Z$13="Muy Baja",'Mapa final'!$AB$13="Menor"),CONCATENATE("R5C",'Mapa final'!$P$13),"")</f>
        <v/>
      </c>
      <c r="Q50" s="75" t="str">
        <f>IF(AND('Mapa final'!$Z$14="Muy Baja",'Mapa final'!$AB$14="Menor"),CONCATENATE("R5C",'Mapa final'!$P$14),"")</f>
        <v/>
      </c>
      <c r="R50" s="75" t="e">
        <f>IF(AND('Mapa final'!#REF!="Muy Baja",'Mapa final'!#REF!="Menor"),CONCATENATE("R5C",'Mapa final'!#REF!),"")</f>
        <v>#REF!</v>
      </c>
      <c r="S50" s="75" t="e">
        <f>IF(AND('Mapa final'!#REF!="Muy Baja",'Mapa final'!#REF!="Menor"),CONCATENATE("R5C",'Mapa final'!#REF!),"")</f>
        <v>#REF!</v>
      </c>
      <c r="T50" s="75" t="e">
        <f>IF(AND('Mapa final'!#REF!="Muy Baja",'Mapa final'!#REF!="Menor"),CONCATENATE("R5C",'Mapa final'!#REF!),"")</f>
        <v>#REF!</v>
      </c>
      <c r="U50" s="76" t="e">
        <f>IF(AND('Mapa final'!#REF!="Muy Baja",'Mapa final'!#REF!="Menor"),CONCATENATE("R5C",'Mapa final'!#REF!),"")</f>
        <v>#REF!</v>
      </c>
      <c r="V50" s="65" t="str">
        <f>IF(AND('Mapa final'!$Z$13="Muy Baja",'Mapa final'!$AB$13="Moderado"),CONCATENATE("R5C",'Mapa final'!$P$13),"")</f>
        <v/>
      </c>
      <c r="W50" s="66" t="str">
        <f>IF(AND('Mapa final'!$Z$14="Muy Baja",'Mapa final'!$AB$14="Moderado"),CONCATENATE("R5C",'Mapa final'!$P$14),"")</f>
        <v>R5C2</v>
      </c>
      <c r="X50" s="66" t="e">
        <f>IF(AND('Mapa final'!#REF!="Muy Baja",'Mapa final'!#REF!="Moderado"),CONCATENATE("R5C",'Mapa final'!#REF!),"")</f>
        <v>#REF!</v>
      </c>
      <c r="Y50" s="66" t="e">
        <f>IF(AND('Mapa final'!#REF!="Muy Baja",'Mapa final'!#REF!="Moderado"),CONCATENATE("R5C",'Mapa final'!#REF!),"")</f>
        <v>#REF!</v>
      </c>
      <c r="Z50" s="66" t="e">
        <f>IF(AND('Mapa final'!#REF!="Muy Baja",'Mapa final'!#REF!="Moderado"),CONCATENATE("R5C",'Mapa final'!#REF!),"")</f>
        <v>#REF!</v>
      </c>
      <c r="AA50" s="67" t="e">
        <f>IF(AND('Mapa final'!#REF!="Muy Baja",'Mapa final'!#REF!="Moderado"),CONCATENATE("R5C",'Mapa final'!#REF!),"")</f>
        <v>#REF!</v>
      </c>
      <c r="AB50" s="50" t="str">
        <f>IF(AND('Mapa final'!$Z$13="Muy Baja",'Mapa final'!$AB$13="Mayor"),CONCATENATE("R5C",'Mapa final'!$P$13),"")</f>
        <v/>
      </c>
      <c r="AC50" s="51" t="str">
        <f>IF(AND('Mapa final'!$Z$14="Muy Baja",'Mapa final'!$AB$14="Mayor"),CONCATENATE("R5C",'Mapa final'!$P$14),"")</f>
        <v/>
      </c>
      <c r="AD50" s="51" t="e">
        <f>IF(AND('Mapa final'!#REF!="Muy Baja",'Mapa final'!#REF!="Mayor"),CONCATENATE("R5C",'Mapa final'!#REF!),"")</f>
        <v>#REF!</v>
      </c>
      <c r="AE50" s="51" t="e">
        <f>IF(AND('Mapa final'!#REF!="Muy Baja",'Mapa final'!#REF!="Mayor"),CONCATENATE("R5C",'Mapa final'!#REF!),"")</f>
        <v>#REF!</v>
      </c>
      <c r="AF50" s="51" t="e">
        <f>IF(AND('Mapa final'!#REF!="Muy Baja",'Mapa final'!#REF!="Mayor"),CONCATENATE("R5C",'Mapa final'!#REF!),"")</f>
        <v>#REF!</v>
      </c>
      <c r="AG50" s="52" t="e">
        <f>IF(AND('Mapa final'!#REF!="Muy Baja",'Mapa final'!#REF!="Mayor"),CONCATENATE("R5C",'Mapa final'!#REF!),"")</f>
        <v>#REF!</v>
      </c>
      <c r="AH50" s="53" t="str">
        <f>IF(AND('Mapa final'!$Z$13="Muy Baja",'Mapa final'!$AB$13="Catastrófico"),CONCATENATE("R5C",'Mapa final'!$P$13),"")</f>
        <v/>
      </c>
      <c r="AI50" s="54" t="str">
        <f>IF(AND('Mapa final'!$Z$14="Muy Baja",'Mapa final'!$AB$14="Catastrófico"),CONCATENATE("R5C",'Mapa final'!$P$14),"")</f>
        <v/>
      </c>
      <c r="AJ50" s="54" t="e">
        <f>IF(AND('Mapa final'!#REF!="Muy Baja",'Mapa final'!#REF!="Catastrófico"),CONCATENATE("R5C",'Mapa final'!#REF!),"")</f>
        <v>#REF!</v>
      </c>
      <c r="AK50" s="54" t="e">
        <f>IF(AND('Mapa final'!#REF!="Muy Baja",'Mapa final'!#REF!="Catastrófico"),CONCATENATE("R5C",'Mapa final'!#REF!),"")</f>
        <v>#REF!</v>
      </c>
      <c r="AL50" s="54" t="e">
        <f>IF(AND('Mapa final'!#REF!="Muy Baja",'Mapa final'!#REF!="Catastrófico"),CONCATENATE("R5C",'Mapa final'!#REF!),"")</f>
        <v>#REF!</v>
      </c>
      <c r="AM50" s="55" t="e">
        <f>IF(AND('Mapa final'!#REF!="Muy Baja",'Mapa final'!#REF!="Catastrófico"),CONCATENATE("R5C",'Mapa final'!#REF!),"")</f>
        <v>#REF!</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337"/>
      <c r="C51" s="337"/>
      <c r="D51" s="338"/>
      <c r="E51" s="378"/>
      <c r="F51" s="379"/>
      <c r="G51" s="379"/>
      <c r="H51" s="379"/>
      <c r="I51" s="380"/>
      <c r="J51" s="74" t="str">
        <f>IF(AND('Mapa final'!$Z$15="Muy Baja",'Mapa final'!$AB$15="Leve"),CONCATENATE("R6C",'Mapa final'!$P$15),"")</f>
        <v/>
      </c>
      <c r="K51" s="75" t="str">
        <f>IF(AND('Mapa final'!$Z$16="Muy Baja",'Mapa final'!$AB$16="Leve"),CONCATENATE("R6C",'Mapa final'!$P$16),"")</f>
        <v/>
      </c>
      <c r="L51" s="75" t="str">
        <f>IF(AND('Mapa final'!$Z$17="Muy Baja",'Mapa final'!$AB$17="Leve"),CONCATENATE("R6C",'Mapa final'!$P$17),"")</f>
        <v/>
      </c>
      <c r="M51" s="75" t="e">
        <f>IF(AND('Mapa final'!#REF!="Muy Baja",'Mapa final'!#REF!="Leve"),CONCATENATE("R6C",'Mapa final'!#REF!),"")</f>
        <v>#REF!</v>
      </c>
      <c r="N51" s="75" t="e">
        <f>IF(AND('Mapa final'!#REF!="Muy Baja",'Mapa final'!#REF!="Leve"),CONCATENATE("R6C",'Mapa final'!#REF!),"")</f>
        <v>#REF!</v>
      </c>
      <c r="O51" s="76" t="e">
        <f>IF(AND('Mapa final'!#REF!="Muy Baja",'Mapa final'!#REF!="Leve"),CONCATENATE("R6C",'Mapa final'!#REF!),"")</f>
        <v>#REF!</v>
      </c>
      <c r="P51" s="74" t="str">
        <f>IF(AND('Mapa final'!$Z$15="Muy Baja",'Mapa final'!$AB$15="Menor"),CONCATENATE("R6C",'Mapa final'!$P$15),"")</f>
        <v/>
      </c>
      <c r="Q51" s="75" t="str">
        <f>IF(AND('Mapa final'!$Z$16="Muy Baja",'Mapa final'!$AB$16="Menor"),CONCATENATE("R6C",'Mapa final'!$P$16),"")</f>
        <v>R6C2</v>
      </c>
      <c r="R51" s="75" t="str">
        <f>IF(AND('Mapa final'!$Z$17="Muy Baja",'Mapa final'!$AB$17="Menor"),CONCATENATE("R6C",'Mapa final'!$P$17),"")</f>
        <v>R6C3</v>
      </c>
      <c r="S51" s="75" t="e">
        <f>IF(AND('Mapa final'!#REF!="Muy Baja",'Mapa final'!#REF!="Menor"),CONCATENATE("R6C",'Mapa final'!#REF!),"")</f>
        <v>#REF!</v>
      </c>
      <c r="T51" s="75" t="e">
        <f>IF(AND('Mapa final'!#REF!="Muy Baja",'Mapa final'!#REF!="Menor"),CONCATENATE("R6C",'Mapa final'!#REF!),"")</f>
        <v>#REF!</v>
      </c>
      <c r="U51" s="76" t="e">
        <f>IF(AND('Mapa final'!#REF!="Muy Baja",'Mapa final'!#REF!="Menor"),CONCATENATE("R6C",'Mapa final'!#REF!),"")</f>
        <v>#REF!</v>
      </c>
      <c r="V51" s="65" t="str">
        <f>IF(AND('Mapa final'!$Z$15="Muy Baja",'Mapa final'!$AB$15="Moderado"),CONCATENATE("R6C",'Mapa final'!$P$15),"")</f>
        <v>R6C1</v>
      </c>
      <c r="W51" s="66" t="str">
        <f>IF(AND('Mapa final'!$Z$16="Muy Baja",'Mapa final'!$AB$16="Moderado"),CONCATENATE("R6C",'Mapa final'!$P$16),"")</f>
        <v/>
      </c>
      <c r="X51" s="66" t="str">
        <f>IF(AND('Mapa final'!$Z$17="Muy Baja",'Mapa final'!$AB$17="Moderado"),CONCATENATE("R6C",'Mapa final'!$P$17),"")</f>
        <v/>
      </c>
      <c r="Y51" s="66" t="e">
        <f>IF(AND('Mapa final'!#REF!="Muy Baja",'Mapa final'!#REF!="Moderado"),CONCATENATE("R6C",'Mapa final'!#REF!),"")</f>
        <v>#REF!</v>
      </c>
      <c r="Z51" s="66" t="e">
        <f>IF(AND('Mapa final'!#REF!="Muy Baja",'Mapa final'!#REF!="Moderado"),CONCATENATE("R6C",'Mapa final'!#REF!),"")</f>
        <v>#REF!</v>
      </c>
      <c r="AA51" s="67" t="e">
        <f>IF(AND('Mapa final'!#REF!="Muy Baja",'Mapa final'!#REF!="Moderado"),CONCATENATE("R6C",'Mapa final'!#REF!),"")</f>
        <v>#REF!</v>
      </c>
      <c r="AB51" s="50" t="str">
        <f>IF(AND('Mapa final'!$Z$15="Muy Baja",'Mapa final'!$AB$15="Mayor"),CONCATENATE("R6C",'Mapa final'!$P$15),"")</f>
        <v/>
      </c>
      <c r="AC51" s="51" t="str">
        <f>IF(AND('Mapa final'!$Z$16="Muy Baja",'Mapa final'!$AB$16="Mayor"),CONCATENATE("R6C",'Mapa final'!$P$16),"")</f>
        <v/>
      </c>
      <c r="AD51" s="51" t="str">
        <f>IF(AND('Mapa final'!$Z$17="Muy Baja",'Mapa final'!$AB$17="Mayor"),CONCATENATE("R6C",'Mapa final'!$P$17),"")</f>
        <v/>
      </c>
      <c r="AE51" s="51" t="e">
        <f>IF(AND('Mapa final'!#REF!="Muy Baja",'Mapa final'!#REF!="Mayor"),CONCATENATE("R6C",'Mapa final'!#REF!),"")</f>
        <v>#REF!</v>
      </c>
      <c r="AF51" s="51" t="e">
        <f>IF(AND('Mapa final'!#REF!="Muy Baja",'Mapa final'!#REF!="Mayor"),CONCATENATE("R6C",'Mapa final'!#REF!),"")</f>
        <v>#REF!</v>
      </c>
      <c r="AG51" s="52" t="e">
        <f>IF(AND('Mapa final'!#REF!="Muy Baja",'Mapa final'!#REF!="Mayor"),CONCATENATE("R6C",'Mapa final'!#REF!),"")</f>
        <v>#REF!</v>
      </c>
      <c r="AH51" s="53" t="str">
        <f>IF(AND('Mapa final'!$Z$15="Muy Baja",'Mapa final'!$AB$15="Catastrófico"),CONCATENATE("R6C",'Mapa final'!$P$15),"")</f>
        <v/>
      </c>
      <c r="AI51" s="54" t="str">
        <f>IF(AND('Mapa final'!$Z$16="Muy Baja",'Mapa final'!$AB$16="Catastrófico"),CONCATENATE("R6C",'Mapa final'!$P$16),"")</f>
        <v/>
      </c>
      <c r="AJ51" s="54" t="str">
        <f>IF(AND('Mapa final'!$Z$17="Muy Baja",'Mapa final'!$AB$17="Catastrófico"),CONCATENATE("R6C",'Mapa final'!$P$17),"")</f>
        <v/>
      </c>
      <c r="AK51" s="54" t="e">
        <f>IF(AND('Mapa final'!#REF!="Muy Baja",'Mapa final'!#REF!="Catastrófico"),CONCATENATE("R6C",'Mapa final'!#REF!),"")</f>
        <v>#REF!</v>
      </c>
      <c r="AL51" s="54" t="e">
        <f>IF(AND('Mapa final'!#REF!="Muy Baja",'Mapa final'!#REF!="Catastrófico"),CONCATENATE("R6C",'Mapa final'!#REF!),"")</f>
        <v>#REF!</v>
      </c>
      <c r="AM51" s="55" t="e">
        <f>IF(AND('Mapa final'!#REF!="Muy Baja",'Mapa final'!#REF!="Catastrófico"),CONCATENATE("R6C",'Mapa final'!#REF!),"")</f>
        <v>#REF!</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337"/>
      <c r="C52" s="337"/>
      <c r="D52" s="338"/>
      <c r="E52" s="378"/>
      <c r="F52" s="379"/>
      <c r="G52" s="379"/>
      <c r="H52" s="379"/>
      <c r="I52" s="380"/>
      <c r="J52" s="74" t="str">
        <f>IF(AND('Mapa final'!$Z$18="Muy Baja",'Mapa final'!$AB$18="Leve"),CONCATENATE("R7C",'Mapa final'!$P$18),"")</f>
        <v/>
      </c>
      <c r="K52" s="75" t="str">
        <f>IF(AND('Mapa final'!$Z$19="Muy Baja",'Mapa final'!$AB$19="Leve"),CONCATENATE("R7C",'Mapa final'!$P$19),"")</f>
        <v/>
      </c>
      <c r="L52" s="75" t="e">
        <f>IF(AND('Mapa final'!#REF!="Muy Baja",'Mapa final'!#REF!="Leve"),CONCATENATE("R7C",'Mapa final'!#REF!),"")</f>
        <v>#REF!</v>
      </c>
      <c r="M52" s="75" t="e">
        <f>IF(AND('Mapa final'!#REF!="Muy Baja",'Mapa final'!#REF!="Leve"),CONCATENATE("R7C",'Mapa final'!#REF!),"")</f>
        <v>#REF!</v>
      </c>
      <c r="N52" s="75" t="e">
        <f>IF(AND('Mapa final'!#REF!="Muy Baja",'Mapa final'!#REF!="Leve"),CONCATENATE("R7C",'Mapa final'!#REF!),"")</f>
        <v>#REF!</v>
      </c>
      <c r="O52" s="76" t="e">
        <f>IF(AND('Mapa final'!#REF!="Muy Baja",'Mapa final'!#REF!="Leve"),CONCATENATE("R7C",'Mapa final'!#REF!),"")</f>
        <v>#REF!</v>
      </c>
      <c r="P52" s="74" t="str">
        <f>IF(AND('Mapa final'!$Z$18="Muy Baja",'Mapa final'!$AB$18="Menor"),CONCATENATE("R7C",'Mapa final'!$P$18),"")</f>
        <v/>
      </c>
      <c r="Q52" s="75" t="str">
        <f>IF(AND('Mapa final'!$Z$19="Muy Baja",'Mapa final'!$AB$19="Menor"),CONCATENATE("R7C",'Mapa final'!$P$19),"")</f>
        <v>R7C2</v>
      </c>
      <c r="R52" s="75" t="e">
        <f>IF(AND('Mapa final'!#REF!="Muy Baja",'Mapa final'!#REF!="Menor"),CONCATENATE("R7C",'Mapa final'!#REF!),"")</f>
        <v>#REF!</v>
      </c>
      <c r="S52" s="75" t="e">
        <f>IF(AND('Mapa final'!#REF!="Muy Baja",'Mapa final'!#REF!="Menor"),CONCATENATE("R7C",'Mapa final'!#REF!),"")</f>
        <v>#REF!</v>
      </c>
      <c r="T52" s="75" t="e">
        <f>IF(AND('Mapa final'!#REF!="Muy Baja",'Mapa final'!#REF!="Menor"),CONCATENATE("R7C",'Mapa final'!#REF!),"")</f>
        <v>#REF!</v>
      </c>
      <c r="U52" s="76" t="e">
        <f>IF(AND('Mapa final'!#REF!="Muy Baja",'Mapa final'!#REF!="Menor"),CONCATENATE("R7C",'Mapa final'!#REF!),"")</f>
        <v>#REF!</v>
      </c>
      <c r="V52" s="65" t="str">
        <f>IF(AND('Mapa final'!$Z$18="Muy Baja",'Mapa final'!$AB$18="Moderado"),CONCATENATE("R7C",'Mapa final'!$P$18),"")</f>
        <v/>
      </c>
      <c r="W52" s="66" t="str">
        <f>IF(AND('Mapa final'!$Z$19="Muy Baja",'Mapa final'!$AB$19="Moderado"),CONCATENATE("R7C",'Mapa final'!$P$19),"")</f>
        <v/>
      </c>
      <c r="X52" s="66" t="e">
        <f>IF(AND('Mapa final'!#REF!="Muy Baja",'Mapa final'!#REF!="Moderado"),CONCATENATE("R7C",'Mapa final'!#REF!),"")</f>
        <v>#REF!</v>
      </c>
      <c r="Y52" s="66" t="e">
        <f>IF(AND('Mapa final'!#REF!="Muy Baja",'Mapa final'!#REF!="Moderado"),CONCATENATE("R7C",'Mapa final'!#REF!),"")</f>
        <v>#REF!</v>
      </c>
      <c r="Z52" s="66" t="e">
        <f>IF(AND('Mapa final'!#REF!="Muy Baja",'Mapa final'!#REF!="Moderado"),CONCATENATE("R7C",'Mapa final'!#REF!),"")</f>
        <v>#REF!</v>
      </c>
      <c r="AA52" s="67" t="e">
        <f>IF(AND('Mapa final'!#REF!="Muy Baja",'Mapa final'!#REF!="Moderado"),CONCATENATE("R7C",'Mapa final'!#REF!),"")</f>
        <v>#REF!</v>
      </c>
      <c r="AB52" s="50" t="str">
        <f>IF(AND('Mapa final'!$Z$18="Muy Baja",'Mapa final'!$AB$18="Mayor"),CONCATENATE("R7C",'Mapa final'!$P$18),"")</f>
        <v/>
      </c>
      <c r="AC52" s="51" t="str">
        <f>IF(AND('Mapa final'!$Z$19="Muy Baja",'Mapa final'!$AB$19="Mayor"),CONCATENATE("R7C",'Mapa final'!$P$19),"")</f>
        <v/>
      </c>
      <c r="AD52" s="51" t="e">
        <f>IF(AND('Mapa final'!#REF!="Muy Baja",'Mapa final'!#REF!="Mayor"),CONCATENATE("R7C",'Mapa final'!#REF!),"")</f>
        <v>#REF!</v>
      </c>
      <c r="AE52" s="51" t="e">
        <f>IF(AND('Mapa final'!#REF!="Muy Baja",'Mapa final'!#REF!="Mayor"),CONCATENATE("R7C",'Mapa final'!#REF!),"")</f>
        <v>#REF!</v>
      </c>
      <c r="AF52" s="51" t="e">
        <f>IF(AND('Mapa final'!#REF!="Muy Baja",'Mapa final'!#REF!="Mayor"),CONCATENATE("R7C",'Mapa final'!#REF!),"")</f>
        <v>#REF!</v>
      </c>
      <c r="AG52" s="52" t="e">
        <f>IF(AND('Mapa final'!#REF!="Muy Baja",'Mapa final'!#REF!="Mayor"),CONCATENATE("R7C",'Mapa final'!#REF!),"")</f>
        <v>#REF!</v>
      </c>
      <c r="AH52" s="53" t="str">
        <f>IF(AND('Mapa final'!$Z$18="Muy Baja",'Mapa final'!$AB$18="Catastrófico"),CONCATENATE("R7C",'Mapa final'!$P$18),"")</f>
        <v/>
      </c>
      <c r="AI52" s="54" t="str">
        <f>IF(AND('Mapa final'!$Z$19="Muy Baja",'Mapa final'!$AB$19="Catastrófico"),CONCATENATE("R7C",'Mapa final'!$P$19),"")</f>
        <v/>
      </c>
      <c r="AJ52" s="54" t="e">
        <f>IF(AND('Mapa final'!#REF!="Muy Baja",'Mapa final'!#REF!="Catastrófico"),CONCATENATE("R7C",'Mapa final'!#REF!),"")</f>
        <v>#REF!</v>
      </c>
      <c r="AK52" s="54" t="e">
        <f>IF(AND('Mapa final'!#REF!="Muy Baja",'Mapa final'!#REF!="Catastrófico"),CONCATENATE("R7C",'Mapa final'!#REF!),"")</f>
        <v>#REF!</v>
      </c>
      <c r="AL52" s="54" t="e">
        <f>IF(AND('Mapa final'!#REF!="Muy Baja",'Mapa final'!#REF!="Catastrófico"),CONCATENATE("R7C",'Mapa final'!#REF!),"")</f>
        <v>#REF!</v>
      </c>
      <c r="AM52" s="55" t="e">
        <f>IF(AND('Mapa final'!#REF!="Muy Baja",'Mapa final'!#REF!="Catastrófico"),CONCATENATE("R7C",'Mapa final'!#REF!),"")</f>
        <v>#REF!</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337"/>
      <c r="C53" s="337"/>
      <c r="D53" s="338"/>
      <c r="E53" s="378"/>
      <c r="F53" s="379"/>
      <c r="G53" s="379"/>
      <c r="H53" s="379"/>
      <c r="I53" s="380"/>
      <c r="J53" s="74" t="str">
        <f>IF(AND('Mapa final'!$Z$20="Muy Baja",'Mapa final'!$AB$20="Leve"),CONCATENATE("R8C",'Mapa final'!$P$20),"")</f>
        <v/>
      </c>
      <c r="K53" s="75" t="str">
        <f>IF(AND('Mapa final'!$Z$21="Muy Baja",'Mapa final'!$AB$21="Leve"),CONCATENATE("R8C",'Mapa final'!$P$21),"")</f>
        <v/>
      </c>
      <c r="L53" s="75" t="e">
        <f>IF(AND('Mapa final'!#REF!="Muy Baja",'Mapa final'!#REF!="Leve"),CONCATENATE("R8C",'Mapa final'!#REF!),"")</f>
        <v>#REF!</v>
      </c>
      <c r="M53" s="75" t="e">
        <f>IF(AND('Mapa final'!#REF!="Muy Baja",'Mapa final'!#REF!="Leve"),CONCATENATE("R8C",'Mapa final'!#REF!),"")</f>
        <v>#REF!</v>
      </c>
      <c r="N53" s="75" t="e">
        <f>IF(AND('Mapa final'!#REF!="Muy Baja",'Mapa final'!#REF!="Leve"),CONCATENATE("R8C",'Mapa final'!#REF!),"")</f>
        <v>#REF!</v>
      </c>
      <c r="O53" s="76" t="e">
        <f>IF(AND('Mapa final'!#REF!="Muy Baja",'Mapa final'!#REF!="Leve"),CONCATENATE("R8C",'Mapa final'!#REF!),"")</f>
        <v>#REF!</v>
      </c>
      <c r="P53" s="74" t="str">
        <f>IF(AND('Mapa final'!$Z$20="Muy Baja",'Mapa final'!$AB$20="Menor"),CONCATENATE("R8C",'Mapa final'!$P$20),"")</f>
        <v/>
      </c>
      <c r="Q53" s="75" t="str">
        <f>IF(AND('Mapa final'!$Z$21="Muy Baja",'Mapa final'!$AB$21="Menor"),CONCATENATE("R8C",'Mapa final'!$P$21),"")</f>
        <v/>
      </c>
      <c r="R53" s="75" t="e">
        <f>IF(AND('Mapa final'!#REF!="Muy Baja",'Mapa final'!#REF!="Menor"),CONCATENATE("R8C",'Mapa final'!#REF!),"")</f>
        <v>#REF!</v>
      </c>
      <c r="S53" s="75" t="e">
        <f>IF(AND('Mapa final'!#REF!="Muy Baja",'Mapa final'!#REF!="Menor"),CONCATENATE("R8C",'Mapa final'!#REF!),"")</f>
        <v>#REF!</v>
      </c>
      <c r="T53" s="75" t="e">
        <f>IF(AND('Mapa final'!#REF!="Muy Baja",'Mapa final'!#REF!="Menor"),CONCATENATE("R8C",'Mapa final'!#REF!),"")</f>
        <v>#REF!</v>
      </c>
      <c r="U53" s="76" t="e">
        <f>IF(AND('Mapa final'!#REF!="Muy Baja",'Mapa final'!#REF!="Menor"),CONCATENATE("R8C",'Mapa final'!#REF!),"")</f>
        <v>#REF!</v>
      </c>
      <c r="V53" s="65" t="str">
        <f>IF(AND('Mapa final'!$Z$20="Muy Baja",'Mapa final'!$AB$20="Moderado"),CONCATENATE("R8C",'Mapa final'!$P$20),"")</f>
        <v/>
      </c>
      <c r="W53" s="66" t="str">
        <f>IF(AND('Mapa final'!$Z$21="Muy Baja",'Mapa final'!$AB$21="Moderado"),CONCATENATE("R8C",'Mapa final'!$P$21),"")</f>
        <v/>
      </c>
      <c r="X53" s="66" t="e">
        <f>IF(AND('Mapa final'!#REF!="Muy Baja",'Mapa final'!#REF!="Moderado"),CONCATENATE("R8C",'Mapa final'!#REF!),"")</f>
        <v>#REF!</v>
      </c>
      <c r="Y53" s="66" t="e">
        <f>IF(AND('Mapa final'!#REF!="Muy Baja",'Mapa final'!#REF!="Moderado"),CONCATENATE("R8C",'Mapa final'!#REF!),"")</f>
        <v>#REF!</v>
      </c>
      <c r="Z53" s="66" t="e">
        <f>IF(AND('Mapa final'!#REF!="Muy Baja",'Mapa final'!#REF!="Moderado"),CONCATENATE("R8C",'Mapa final'!#REF!),"")</f>
        <v>#REF!</v>
      </c>
      <c r="AA53" s="67" t="e">
        <f>IF(AND('Mapa final'!#REF!="Muy Baja",'Mapa final'!#REF!="Moderado"),CONCATENATE("R8C",'Mapa final'!#REF!),"")</f>
        <v>#REF!</v>
      </c>
      <c r="AB53" s="50" t="str">
        <f>IF(AND('Mapa final'!$Z$20="Muy Baja",'Mapa final'!$AB$20="Mayor"),CONCATENATE("R8C",'Mapa final'!$P$20),"")</f>
        <v/>
      </c>
      <c r="AC53" s="51" t="str">
        <f>IF(AND('Mapa final'!$Z$21="Muy Baja",'Mapa final'!$AB$21="Mayor"),CONCATENATE("R8C",'Mapa final'!$P$21),"")</f>
        <v/>
      </c>
      <c r="AD53" s="51" t="e">
        <f>IF(AND('Mapa final'!#REF!="Muy Baja",'Mapa final'!#REF!="Mayor"),CONCATENATE("R8C",'Mapa final'!#REF!),"")</f>
        <v>#REF!</v>
      </c>
      <c r="AE53" s="51" t="e">
        <f>IF(AND('Mapa final'!#REF!="Muy Baja",'Mapa final'!#REF!="Mayor"),CONCATENATE("R8C",'Mapa final'!#REF!),"")</f>
        <v>#REF!</v>
      </c>
      <c r="AF53" s="51" t="e">
        <f>IF(AND('Mapa final'!#REF!="Muy Baja",'Mapa final'!#REF!="Mayor"),CONCATENATE("R8C",'Mapa final'!#REF!),"")</f>
        <v>#REF!</v>
      </c>
      <c r="AG53" s="52" t="e">
        <f>IF(AND('Mapa final'!#REF!="Muy Baja",'Mapa final'!#REF!="Mayor"),CONCATENATE("R8C",'Mapa final'!#REF!),"")</f>
        <v>#REF!</v>
      </c>
      <c r="AH53" s="53" t="str">
        <f>IF(AND('Mapa final'!$Z$20="Muy Baja",'Mapa final'!$AB$20="Catastrófico"),CONCATENATE("R8C",'Mapa final'!$P$20),"")</f>
        <v/>
      </c>
      <c r="AI53" s="54" t="str">
        <f>IF(AND('Mapa final'!$Z$21="Muy Baja",'Mapa final'!$AB$21="Catastrófico"),CONCATENATE("R8C",'Mapa final'!$P$21),"")</f>
        <v/>
      </c>
      <c r="AJ53" s="54" t="e">
        <f>IF(AND('Mapa final'!#REF!="Muy Baja",'Mapa final'!#REF!="Catastrófico"),CONCATENATE("R8C",'Mapa final'!#REF!),"")</f>
        <v>#REF!</v>
      </c>
      <c r="AK53" s="54" t="e">
        <f>IF(AND('Mapa final'!#REF!="Muy Baja",'Mapa final'!#REF!="Catastrófico"),CONCATENATE("R8C",'Mapa final'!#REF!),"")</f>
        <v>#REF!</v>
      </c>
      <c r="AL53" s="54" t="e">
        <f>IF(AND('Mapa final'!#REF!="Muy Baja",'Mapa final'!#REF!="Catastrófico"),CONCATENATE("R8C",'Mapa final'!#REF!),"")</f>
        <v>#REF!</v>
      </c>
      <c r="AM53" s="55" t="e">
        <f>IF(AND('Mapa final'!#REF!="Muy Baja",'Mapa final'!#REF!="Catastrófico"),CONCATENATE("R8C",'Mapa final'!#REF!),"")</f>
        <v>#REF!</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337"/>
      <c r="C54" s="337"/>
      <c r="D54" s="338"/>
      <c r="E54" s="378"/>
      <c r="F54" s="379"/>
      <c r="G54" s="379"/>
      <c r="H54" s="379"/>
      <c r="I54" s="380"/>
      <c r="J54" s="74" t="str">
        <f>IF(AND('Mapa final'!$Z$22="Muy Baja",'Mapa final'!$AB$22="Leve"),CONCATENATE("R9C",'Mapa final'!$P$22),"")</f>
        <v/>
      </c>
      <c r="K54" s="75" t="str">
        <f>IF(AND('Mapa final'!$Z$23="Muy Baja",'Mapa final'!$AB$23="Leve"),CONCATENATE("R9C",'Mapa final'!$P$23),"")</f>
        <v/>
      </c>
      <c r="L54" s="75" t="e">
        <f>IF(AND('Mapa final'!#REF!="Muy Baja",'Mapa final'!#REF!="Leve"),CONCATENATE("R9C",'Mapa final'!#REF!),"")</f>
        <v>#REF!</v>
      </c>
      <c r="M54" s="75" t="e">
        <f>IF(AND('Mapa final'!#REF!="Muy Baja",'Mapa final'!#REF!="Leve"),CONCATENATE("R9C",'Mapa final'!#REF!),"")</f>
        <v>#REF!</v>
      </c>
      <c r="N54" s="75" t="e">
        <f>IF(AND('Mapa final'!#REF!="Muy Baja",'Mapa final'!#REF!="Leve"),CONCATENATE("R9C",'Mapa final'!#REF!),"")</f>
        <v>#REF!</v>
      </c>
      <c r="O54" s="76" t="e">
        <f>IF(AND('Mapa final'!#REF!="Muy Baja",'Mapa final'!#REF!="Leve"),CONCATENATE("R9C",'Mapa final'!#REF!),"")</f>
        <v>#REF!</v>
      </c>
      <c r="P54" s="74" t="str">
        <f>IF(AND('Mapa final'!$Z$22="Muy Baja",'Mapa final'!$AB$22="Menor"),CONCATENATE("R9C",'Mapa final'!$P$22),"")</f>
        <v/>
      </c>
      <c r="Q54" s="75" t="str">
        <f>IF(AND('Mapa final'!$Z$23="Muy Baja",'Mapa final'!$AB$23="Menor"),CONCATENATE("R9C",'Mapa final'!$P$23),"")</f>
        <v/>
      </c>
      <c r="R54" s="75" t="e">
        <f>IF(AND('Mapa final'!#REF!="Muy Baja",'Mapa final'!#REF!="Menor"),CONCATENATE("R9C",'Mapa final'!#REF!),"")</f>
        <v>#REF!</v>
      </c>
      <c r="S54" s="75" t="e">
        <f>IF(AND('Mapa final'!#REF!="Muy Baja",'Mapa final'!#REF!="Menor"),CONCATENATE("R9C",'Mapa final'!#REF!),"")</f>
        <v>#REF!</v>
      </c>
      <c r="T54" s="75" t="e">
        <f>IF(AND('Mapa final'!#REF!="Muy Baja",'Mapa final'!#REF!="Menor"),CONCATENATE("R9C",'Mapa final'!#REF!),"")</f>
        <v>#REF!</v>
      </c>
      <c r="U54" s="76" t="e">
        <f>IF(AND('Mapa final'!#REF!="Muy Baja",'Mapa final'!#REF!="Menor"),CONCATENATE("R9C",'Mapa final'!#REF!),"")</f>
        <v>#REF!</v>
      </c>
      <c r="V54" s="65" t="str">
        <f>IF(AND('Mapa final'!$Z$22="Muy Baja",'Mapa final'!$AB$22="Moderado"),CONCATENATE("R9C",'Mapa final'!$P$22),"")</f>
        <v/>
      </c>
      <c r="W54" s="66" t="str">
        <f>IF(AND('Mapa final'!$Z$23="Muy Baja",'Mapa final'!$AB$23="Moderado"),CONCATENATE("R9C",'Mapa final'!$P$23),"")</f>
        <v/>
      </c>
      <c r="X54" s="66" t="e">
        <f>IF(AND('Mapa final'!#REF!="Muy Baja",'Mapa final'!#REF!="Moderado"),CONCATENATE("R9C",'Mapa final'!#REF!),"")</f>
        <v>#REF!</v>
      </c>
      <c r="Y54" s="66" t="e">
        <f>IF(AND('Mapa final'!#REF!="Muy Baja",'Mapa final'!#REF!="Moderado"),CONCATENATE("R9C",'Mapa final'!#REF!),"")</f>
        <v>#REF!</v>
      </c>
      <c r="Z54" s="66" t="e">
        <f>IF(AND('Mapa final'!#REF!="Muy Baja",'Mapa final'!#REF!="Moderado"),CONCATENATE("R9C",'Mapa final'!#REF!),"")</f>
        <v>#REF!</v>
      </c>
      <c r="AA54" s="67" t="e">
        <f>IF(AND('Mapa final'!#REF!="Muy Baja",'Mapa final'!#REF!="Moderado"),CONCATENATE("R9C",'Mapa final'!#REF!),"")</f>
        <v>#REF!</v>
      </c>
      <c r="AB54" s="50" t="str">
        <f>IF(AND('Mapa final'!$Z$22="Muy Baja",'Mapa final'!$AB$22="Mayor"),CONCATENATE("R9C",'Mapa final'!$P$22),"")</f>
        <v/>
      </c>
      <c r="AC54" s="51" t="str">
        <f>IF(AND('Mapa final'!$Z$23="Muy Baja",'Mapa final'!$AB$23="Mayor"),CONCATENATE("R9C",'Mapa final'!$P$23),"")</f>
        <v/>
      </c>
      <c r="AD54" s="51" t="e">
        <f>IF(AND('Mapa final'!#REF!="Muy Baja",'Mapa final'!#REF!="Mayor"),CONCATENATE("R9C",'Mapa final'!#REF!),"")</f>
        <v>#REF!</v>
      </c>
      <c r="AE54" s="51" t="e">
        <f>IF(AND('Mapa final'!#REF!="Muy Baja",'Mapa final'!#REF!="Mayor"),CONCATENATE("R9C",'Mapa final'!#REF!),"")</f>
        <v>#REF!</v>
      </c>
      <c r="AF54" s="51" t="e">
        <f>IF(AND('Mapa final'!#REF!="Muy Baja",'Mapa final'!#REF!="Mayor"),CONCATENATE("R9C",'Mapa final'!#REF!),"")</f>
        <v>#REF!</v>
      </c>
      <c r="AG54" s="52" t="e">
        <f>IF(AND('Mapa final'!#REF!="Muy Baja",'Mapa final'!#REF!="Mayor"),CONCATENATE("R9C",'Mapa final'!#REF!),"")</f>
        <v>#REF!</v>
      </c>
      <c r="AH54" s="53" t="str">
        <f>IF(AND('Mapa final'!$Z$22="Muy Baja",'Mapa final'!$AB$22="Catastrófico"),CONCATENATE("R9C",'Mapa final'!$P$22),"")</f>
        <v/>
      </c>
      <c r="AI54" s="54" t="str">
        <f>IF(AND('Mapa final'!$Z$23="Muy Baja",'Mapa final'!$AB$23="Catastrófico"),CONCATENATE("R9C",'Mapa final'!$P$23),"")</f>
        <v/>
      </c>
      <c r="AJ54" s="54" t="e">
        <f>IF(AND('Mapa final'!#REF!="Muy Baja",'Mapa final'!#REF!="Catastrófico"),CONCATENATE("R9C",'Mapa final'!#REF!),"")</f>
        <v>#REF!</v>
      </c>
      <c r="AK54" s="54" t="e">
        <f>IF(AND('Mapa final'!#REF!="Muy Baja",'Mapa final'!#REF!="Catastrófico"),CONCATENATE("R9C",'Mapa final'!#REF!),"")</f>
        <v>#REF!</v>
      </c>
      <c r="AL54" s="54" t="e">
        <f>IF(AND('Mapa final'!#REF!="Muy Baja",'Mapa final'!#REF!="Catastrófico"),CONCATENATE("R9C",'Mapa final'!#REF!),"")</f>
        <v>#REF!</v>
      </c>
      <c r="AM54" s="55" t="e">
        <f>IF(AND('Mapa final'!#REF!="Muy Baja",'Mapa final'!#REF!="Catastrófico"),CONCATENATE("R9C",'Mapa final'!#REF!),"")</f>
        <v>#REF!</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337"/>
      <c r="C55" s="337"/>
      <c r="D55" s="338"/>
      <c r="E55" s="381"/>
      <c r="F55" s="382"/>
      <c r="G55" s="382"/>
      <c r="H55" s="382"/>
      <c r="I55" s="383"/>
      <c r="J55" s="77" t="str">
        <f>IF(AND('Mapa final'!$Z$24="Muy Baja",'Mapa final'!$AB$24="Leve"),CONCATENATE("R10C",'Mapa final'!$P$24),"")</f>
        <v/>
      </c>
      <c r="K55" s="78" t="str">
        <f>IF(AND('Mapa final'!$Z$25="Muy Baja",'Mapa final'!$AB$25="Leve"),CONCATENATE("R10C",'Mapa final'!$P$25),"")</f>
        <v>R10C2</v>
      </c>
      <c r="L55" s="78" t="e">
        <f>IF(AND('Mapa final'!#REF!="Muy Baja",'Mapa final'!#REF!="Leve"),CONCATENATE("R10C",'Mapa final'!#REF!),"")</f>
        <v>#REF!</v>
      </c>
      <c r="M55" s="78" t="e">
        <f>IF(AND('Mapa final'!#REF!="Muy Baja",'Mapa final'!#REF!="Leve"),CONCATENATE("R10C",'Mapa final'!#REF!),"")</f>
        <v>#REF!</v>
      </c>
      <c r="N55" s="78" t="e">
        <f>IF(AND('Mapa final'!#REF!="Muy Baja",'Mapa final'!#REF!="Leve"),CONCATENATE("R10C",'Mapa final'!#REF!),"")</f>
        <v>#REF!</v>
      </c>
      <c r="O55" s="79" t="e">
        <f>IF(AND('Mapa final'!#REF!="Muy Baja",'Mapa final'!#REF!="Leve"),CONCATENATE("R10C",'Mapa final'!#REF!),"")</f>
        <v>#REF!</v>
      </c>
      <c r="P55" s="77" t="str">
        <f>IF(AND('Mapa final'!$Z$24="Muy Baja",'Mapa final'!$AB$24="Menor"),CONCATENATE("R10C",'Mapa final'!$P$24),"")</f>
        <v/>
      </c>
      <c r="Q55" s="78" t="str">
        <f>IF(AND('Mapa final'!$Z$25="Muy Baja",'Mapa final'!$AB$25="Menor"),CONCATENATE("R10C",'Mapa final'!$P$25),"")</f>
        <v/>
      </c>
      <c r="R55" s="78" t="e">
        <f>IF(AND('Mapa final'!#REF!="Muy Baja",'Mapa final'!#REF!="Menor"),CONCATENATE("R10C",'Mapa final'!#REF!),"")</f>
        <v>#REF!</v>
      </c>
      <c r="S55" s="78" t="e">
        <f>IF(AND('Mapa final'!#REF!="Muy Baja",'Mapa final'!#REF!="Menor"),CONCATENATE("R10C",'Mapa final'!#REF!),"")</f>
        <v>#REF!</v>
      </c>
      <c r="T55" s="78" t="e">
        <f>IF(AND('Mapa final'!#REF!="Muy Baja",'Mapa final'!#REF!="Menor"),CONCATENATE("R10C",'Mapa final'!#REF!),"")</f>
        <v>#REF!</v>
      </c>
      <c r="U55" s="79" t="e">
        <f>IF(AND('Mapa final'!#REF!="Muy Baja",'Mapa final'!#REF!="Menor"),CONCATENATE("R10C",'Mapa final'!#REF!),"")</f>
        <v>#REF!</v>
      </c>
      <c r="V55" s="68" t="str">
        <f>IF(AND('Mapa final'!$Z$24="Muy Baja",'Mapa final'!$AB$24="Moderado"),CONCATENATE("R10C",'Mapa final'!$P$24),"")</f>
        <v/>
      </c>
      <c r="W55" s="69" t="str">
        <f>IF(AND('Mapa final'!$Z$25="Muy Baja",'Mapa final'!$AB$25="Moderado"),CONCATENATE("R10C",'Mapa final'!$P$25),"")</f>
        <v/>
      </c>
      <c r="X55" s="69" t="e">
        <f>IF(AND('Mapa final'!#REF!="Muy Baja",'Mapa final'!#REF!="Moderado"),CONCATENATE("R10C",'Mapa final'!#REF!),"")</f>
        <v>#REF!</v>
      </c>
      <c r="Y55" s="69" t="e">
        <f>IF(AND('Mapa final'!#REF!="Muy Baja",'Mapa final'!#REF!="Moderado"),CONCATENATE("R10C",'Mapa final'!#REF!),"")</f>
        <v>#REF!</v>
      </c>
      <c r="Z55" s="69" t="e">
        <f>IF(AND('Mapa final'!#REF!="Muy Baja",'Mapa final'!#REF!="Moderado"),CONCATENATE("R10C",'Mapa final'!#REF!),"")</f>
        <v>#REF!</v>
      </c>
      <c r="AA55" s="70" t="e">
        <f>IF(AND('Mapa final'!#REF!="Muy Baja",'Mapa final'!#REF!="Moderado"),CONCATENATE("R10C",'Mapa final'!#REF!),"")</f>
        <v>#REF!</v>
      </c>
      <c r="AB55" s="56" t="str">
        <f>IF(AND('Mapa final'!$Z$24="Muy Baja",'Mapa final'!$AB$24="Mayor"),CONCATENATE("R10C",'Mapa final'!$P$24),"")</f>
        <v/>
      </c>
      <c r="AC55" s="57" t="str">
        <f>IF(AND('Mapa final'!$Z$25="Muy Baja",'Mapa final'!$AB$25="Mayor"),CONCATENATE("R10C",'Mapa final'!$P$25),"")</f>
        <v/>
      </c>
      <c r="AD55" s="57" t="e">
        <f>IF(AND('Mapa final'!#REF!="Muy Baja",'Mapa final'!#REF!="Mayor"),CONCATENATE("R10C",'Mapa final'!#REF!),"")</f>
        <v>#REF!</v>
      </c>
      <c r="AE55" s="57" t="e">
        <f>IF(AND('Mapa final'!#REF!="Muy Baja",'Mapa final'!#REF!="Mayor"),CONCATENATE("R10C",'Mapa final'!#REF!),"")</f>
        <v>#REF!</v>
      </c>
      <c r="AF55" s="57" t="e">
        <f>IF(AND('Mapa final'!#REF!="Muy Baja",'Mapa final'!#REF!="Mayor"),CONCATENATE("R10C",'Mapa final'!#REF!),"")</f>
        <v>#REF!</v>
      </c>
      <c r="AG55" s="58" t="e">
        <f>IF(AND('Mapa final'!#REF!="Muy Baja",'Mapa final'!#REF!="Mayor"),CONCATENATE("R10C",'Mapa final'!#REF!),"")</f>
        <v>#REF!</v>
      </c>
      <c r="AH55" s="59" t="str">
        <f>IF(AND('Mapa final'!$Z$24="Muy Baja",'Mapa final'!$AB$24="Catastrófico"),CONCATENATE("R10C",'Mapa final'!$P$24),"")</f>
        <v/>
      </c>
      <c r="AI55" s="60" t="str">
        <f>IF(AND('Mapa final'!$Z$25="Muy Baja",'Mapa final'!$AB$25="Catastrófico"),CONCATENATE("R10C",'Mapa final'!$P$25),"")</f>
        <v/>
      </c>
      <c r="AJ55" s="60" t="e">
        <f>IF(AND('Mapa final'!#REF!="Muy Baja",'Mapa final'!#REF!="Catastrófico"),CONCATENATE("R10C",'Mapa final'!#REF!),"")</f>
        <v>#REF!</v>
      </c>
      <c r="AK55" s="60" t="e">
        <f>IF(AND('Mapa final'!#REF!="Muy Baja",'Mapa final'!#REF!="Catastrófico"),CONCATENATE("R10C",'Mapa final'!#REF!),"")</f>
        <v>#REF!</v>
      </c>
      <c r="AL55" s="60" t="e">
        <f>IF(AND('Mapa final'!#REF!="Muy Baja",'Mapa final'!#REF!="Catastrófico"),CONCATENATE("R10C",'Mapa final'!#REF!),"")</f>
        <v>#REF!</v>
      </c>
      <c r="AM55" s="61" t="e">
        <f>IF(AND('Mapa final'!#REF!="Muy Baja",'Mapa final'!#REF!="Catastrófico"),CONCATENATE("R10C",'Mapa final'!#REF!),"")</f>
        <v>#REF!</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375" t="s">
        <v>110</v>
      </c>
      <c r="K56" s="376"/>
      <c r="L56" s="376"/>
      <c r="M56" s="376"/>
      <c r="N56" s="376"/>
      <c r="O56" s="377"/>
      <c r="P56" s="375" t="s">
        <v>109</v>
      </c>
      <c r="Q56" s="376"/>
      <c r="R56" s="376"/>
      <c r="S56" s="376"/>
      <c r="T56" s="376"/>
      <c r="U56" s="377"/>
      <c r="V56" s="375" t="s">
        <v>108</v>
      </c>
      <c r="W56" s="376"/>
      <c r="X56" s="376"/>
      <c r="Y56" s="376"/>
      <c r="Z56" s="376"/>
      <c r="AA56" s="377"/>
      <c r="AB56" s="375" t="s">
        <v>107</v>
      </c>
      <c r="AC56" s="384"/>
      <c r="AD56" s="376"/>
      <c r="AE56" s="376"/>
      <c r="AF56" s="376"/>
      <c r="AG56" s="377"/>
      <c r="AH56" s="375" t="s">
        <v>106</v>
      </c>
      <c r="AI56" s="376"/>
      <c r="AJ56" s="376"/>
      <c r="AK56" s="376"/>
      <c r="AL56" s="376"/>
      <c r="AM56" s="377"/>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378"/>
      <c r="K57" s="379"/>
      <c r="L57" s="379"/>
      <c r="M57" s="379"/>
      <c r="N57" s="379"/>
      <c r="O57" s="380"/>
      <c r="P57" s="378"/>
      <c r="Q57" s="379"/>
      <c r="R57" s="379"/>
      <c r="S57" s="379"/>
      <c r="T57" s="379"/>
      <c r="U57" s="380"/>
      <c r="V57" s="378"/>
      <c r="W57" s="379"/>
      <c r="X57" s="379"/>
      <c r="Y57" s="379"/>
      <c r="Z57" s="379"/>
      <c r="AA57" s="380"/>
      <c r="AB57" s="378"/>
      <c r="AC57" s="379"/>
      <c r="AD57" s="379"/>
      <c r="AE57" s="379"/>
      <c r="AF57" s="379"/>
      <c r="AG57" s="380"/>
      <c r="AH57" s="378"/>
      <c r="AI57" s="379"/>
      <c r="AJ57" s="379"/>
      <c r="AK57" s="379"/>
      <c r="AL57" s="379"/>
      <c r="AM57" s="380"/>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378"/>
      <c r="K58" s="379"/>
      <c r="L58" s="379"/>
      <c r="M58" s="379"/>
      <c r="N58" s="379"/>
      <c r="O58" s="380"/>
      <c r="P58" s="378"/>
      <c r="Q58" s="379"/>
      <c r="R58" s="379"/>
      <c r="S58" s="379"/>
      <c r="T58" s="379"/>
      <c r="U58" s="380"/>
      <c r="V58" s="378"/>
      <c r="W58" s="379"/>
      <c r="X58" s="379"/>
      <c r="Y58" s="379"/>
      <c r="Z58" s="379"/>
      <c r="AA58" s="380"/>
      <c r="AB58" s="378"/>
      <c r="AC58" s="379"/>
      <c r="AD58" s="379"/>
      <c r="AE58" s="379"/>
      <c r="AF58" s="379"/>
      <c r="AG58" s="380"/>
      <c r="AH58" s="378"/>
      <c r="AI58" s="379"/>
      <c r="AJ58" s="379"/>
      <c r="AK58" s="379"/>
      <c r="AL58" s="379"/>
      <c r="AM58" s="380"/>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378"/>
      <c r="K59" s="379"/>
      <c r="L59" s="379"/>
      <c r="M59" s="379"/>
      <c r="N59" s="379"/>
      <c r="O59" s="380"/>
      <c r="P59" s="378"/>
      <c r="Q59" s="379"/>
      <c r="R59" s="379"/>
      <c r="S59" s="379"/>
      <c r="T59" s="379"/>
      <c r="U59" s="380"/>
      <c r="V59" s="378"/>
      <c r="W59" s="379"/>
      <c r="X59" s="379"/>
      <c r="Y59" s="379"/>
      <c r="Z59" s="379"/>
      <c r="AA59" s="380"/>
      <c r="AB59" s="378"/>
      <c r="AC59" s="379"/>
      <c r="AD59" s="379"/>
      <c r="AE59" s="379"/>
      <c r="AF59" s="379"/>
      <c r="AG59" s="380"/>
      <c r="AH59" s="378"/>
      <c r="AI59" s="379"/>
      <c r="AJ59" s="379"/>
      <c r="AK59" s="379"/>
      <c r="AL59" s="379"/>
      <c r="AM59" s="380"/>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378"/>
      <c r="K60" s="379"/>
      <c r="L60" s="379"/>
      <c r="M60" s="379"/>
      <c r="N60" s="379"/>
      <c r="O60" s="380"/>
      <c r="P60" s="378"/>
      <c r="Q60" s="379"/>
      <c r="R60" s="379"/>
      <c r="S60" s="379"/>
      <c r="T60" s="379"/>
      <c r="U60" s="380"/>
      <c r="V60" s="378"/>
      <c r="W60" s="379"/>
      <c r="X60" s="379"/>
      <c r="Y60" s="379"/>
      <c r="Z60" s="379"/>
      <c r="AA60" s="380"/>
      <c r="AB60" s="378"/>
      <c r="AC60" s="379"/>
      <c r="AD60" s="379"/>
      <c r="AE60" s="379"/>
      <c r="AF60" s="379"/>
      <c r="AG60" s="380"/>
      <c r="AH60" s="378"/>
      <c r="AI60" s="379"/>
      <c r="AJ60" s="379"/>
      <c r="AK60" s="379"/>
      <c r="AL60" s="379"/>
      <c r="AM60" s="380"/>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381"/>
      <c r="K61" s="382"/>
      <c r="L61" s="382"/>
      <c r="M61" s="382"/>
      <c r="N61" s="382"/>
      <c r="O61" s="383"/>
      <c r="P61" s="381"/>
      <c r="Q61" s="382"/>
      <c r="R61" s="382"/>
      <c r="S61" s="382"/>
      <c r="T61" s="382"/>
      <c r="U61" s="383"/>
      <c r="V61" s="381"/>
      <c r="W61" s="382"/>
      <c r="X61" s="382"/>
      <c r="Y61" s="382"/>
      <c r="Z61" s="382"/>
      <c r="AA61" s="383"/>
      <c r="AB61" s="381"/>
      <c r="AC61" s="382"/>
      <c r="AD61" s="382"/>
      <c r="AE61" s="382"/>
      <c r="AF61" s="382"/>
      <c r="AG61" s="383"/>
      <c r="AH61" s="381"/>
      <c r="AI61" s="382"/>
      <c r="AJ61" s="382"/>
      <c r="AK61" s="382"/>
      <c r="AL61" s="382"/>
      <c r="AM61" s="383"/>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1"/>
      <c r="AV63" s="81"/>
      <c r="AW63" s="81"/>
      <c r="AX63" s="81"/>
      <c r="AY63" s="81"/>
      <c r="AZ63" s="81"/>
      <c r="BA63" s="81"/>
      <c r="BB63" s="81"/>
      <c r="BC63" s="81"/>
      <c r="BD63" s="81"/>
      <c r="BE63" s="81"/>
      <c r="BF63" s="81"/>
      <c r="BG63" s="81"/>
      <c r="BH63" s="81"/>
    </row>
    <row r="64" spans="1:80" ht="15" customHeight="1" x14ac:dyDescent="0.25">
      <c r="A64" s="81"/>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D6" sqref="D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1"/>
      <c r="B1" s="424" t="s">
        <v>53</v>
      </c>
      <c r="C1" s="424"/>
      <c r="D1" s="424"/>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1"/>
      <c r="C3" s="12" t="s">
        <v>50</v>
      </c>
      <c r="D3" s="12" t="s">
        <v>4</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3" t="s">
        <v>49</v>
      </c>
      <c r="C4" s="14" t="s">
        <v>100</v>
      </c>
      <c r="D4" s="15">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6" t="s">
        <v>51</v>
      </c>
      <c r="C5" s="17" t="s">
        <v>101</v>
      </c>
      <c r="D5" s="18">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9" t="s">
        <v>105</v>
      </c>
      <c r="C6" s="17" t="s">
        <v>102</v>
      </c>
      <c r="D6" s="18">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20" t="s">
        <v>6</v>
      </c>
      <c r="C7" s="17" t="s">
        <v>103</v>
      </c>
      <c r="D7" s="18">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1" t="s">
        <v>52</v>
      </c>
      <c r="C8" s="17" t="s">
        <v>104</v>
      </c>
      <c r="D8" s="18">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5"/>
      <c r="C9" s="105"/>
      <c r="D9" s="105"/>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6"/>
      <c r="C10" s="105"/>
      <c r="D10" s="105"/>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5"/>
      <c r="C11" s="105"/>
      <c r="D11" s="105"/>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5"/>
      <c r="C12" s="105"/>
      <c r="D12" s="105"/>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5"/>
      <c r="C13" s="105"/>
      <c r="D13" s="105"/>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5"/>
      <c r="C14" s="105"/>
      <c r="D14" s="105"/>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5"/>
      <c r="C15" s="105"/>
      <c r="D15" s="105"/>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5"/>
      <c r="C16" s="105"/>
      <c r="D16" s="105"/>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5"/>
      <c r="C17" s="105"/>
      <c r="D17" s="105"/>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5"/>
      <c r="C18" s="105"/>
      <c r="D18" s="105"/>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40" zoomScaleNormal="40" workbookViewId="0">
      <selection activeCell="C22" sqref="C22"/>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425" t="s">
        <v>61</v>
      </c>
      <c r="C1" s="425"/>
      <c r="D1" s="425"/>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102"/>
      <c r="C3" s="34" t="s">
        <v>54</v>
      </c>
      <c r="D3" s="34" t="s">
        <v>55</v>
      </c>
      <c r="E3" s="81"/>
      <c r="F3" s="81"/>
      <c r="G3" s="81"/>
      <c r="H3" s="81"/>
      <c r="I3" s="81"/>
      <c r="J3" s="81"/>
      <c r="K3" s="81"/>
      <c r="L3" s="81"/>
      <c r="M3" s="81"/>
      <c r="N3" s="81"/>
      <c r="O3" s="81"/>
      <c r="P3" s="81"/>
      <c r="Q3" s="81"/>
      <c r="R3" s="81"/>
      <c r="S3" s="81"/>
      <c r="T3" s="81"/>
      <c r="U3" s="81"/>
    </row>
    <row r="4" spans="1:21" ht="33.75" x14ac:dyDescent="0.25">
      <c r="A4" s="101" t="s">
        <v>81</v>
      </c>
      <c r="B4" s="37" t="s">
        <v>99</v>
      </c>
      <c r="C4" s="42" t="s">
        <v>154</v>
      </c>
      <c r="D4" s="35" t="s">
        <v>95</v>
      </c>
      <c r="E4" s="81"/>
      <c r="F4" s="81"/>
      <c r="G4" s="81"/>
      <c r="H4" s="81"/>
      <c r="I4" s="81"/>
      <c r="J4" s="81"/>
      <c r="K4" s="81"/>
      <c r="L4" s="81"/>
      <c r="M4" s="81"/>
      <c r="N4" s="81"/>
      <c r="O4" s="81"/>
      <c r="P4" s="81"/>
      <c r="Q4" s="81"/>
      <c r="R4" s="81"/>
      <c r="S4" s="81"/>
      <c r="T4" s="81"/>
      <c r="U4" s="81"/>
    </row>
    <row r="5" spans="1:21" ht="67.5" x14ac:dyDescent="0.25">
      <c r="A5" s="101" t="s">
        <v>82</v>
      </c>
      <c r="B5" s="38" t="s">
        <v>57</v>
      </c>
      <c r="C5" s="43" t="s">
        <v>91</v>
      </c>
      <c r="D5" s="36" t="s">
        <v>96</v>
      </c>
      <c r="E5" s="81"/>
      <c r="F5" s="81"/>
      <c r="G5" s="81"/>
      <c r="H5" s="81"/>
      <c r="I5" s="81"/>
      <c r="J5" s="81"/>
      <c r="K5" s="81"/>
      <c r="L5" s="81"/>
      <c r="M5" s="81"/>
      <c r="N5" s="81"/>
      <c r="O5" s="81"/>
      <c r="P5" s="81"/>
      <c r="Q5" s="81"/>
      <c r="R5" s="81"/>
      <c r="S5" s="81"/>
      <c r="T5" s="81"/>
      <c r="U5" s="81"/>
    </row>
    <row r="6" spans="1:21" ht="67.5" x14ac:dyDescent="0.25">
      <c r="A6" s="101" t="s">
        <v>79</v>
      </c>
      <c r="B6" s="39" t="s">
        <v>58</v>
      </c>
      <c r="C6" s="43" t="s">
        <v>92</v>
      </c>
      <c r="D6" s="36" t="s">
        <v>98</v>
      </c>
      <c r="E6" s="81"/>
      <c r="F6" s="81"/>
      <c r="G6" s="81"/>
      <c r="H6" s="81"/>
      <c r="I6" s="81"/>
      <c r="J6" s="81"/>
      <c r="K6" s="81"/>
      <c r="L6" s="81"/>
      <c r="M6" s="81"/>
      <c r="N6" s="81"/>
      <c r="O6" s="81"/>
      <c r="P6" s="81"/>
      <c r="Q6" s="81"/>
      <c r="R6" s="81"/>
      <c r="S6" s="81"/>
      <c r="T6" s="81"/>
      <c r="U6" s="81"/>
    </row>
    <row r="7" spans="1:21" ht="101.25" x14ac:dyDescent="0.25">
      <c r="A7" s="101" t="s">
        <v>7</v>
      </c>
      <c r="B7" s="40" t="s">
        <v>59</v>
      </c>
      <c r="C7" s="43" t="s">
        <v>93</v>
      </c>
      <c r="D7" s="36" t="s">
        <v>97</v>
      </c>
      <c r="E7" s="81"/>
      <c r="F7" s="81"/>
      <c r="G7" s="81"/>
      <c r="H7" s="81"/>
      <c r="I7" s="81"/>
      <c r="J7" s="81"/>
      <c r="K7" s="81"/>
      <c r="L7" s="81"/>
      <c r="M7" s="81"/>
      <c r="N7" s="81"/>
      <c r="O7" s="81"/>
      <c r="P7" s="81"/>
      <c r="Q7" s="81"/>
      <c r="R7" s="81"/>
      <c r="S7" s="81"/>
      <c r="T7" s="81"/>
      <c r="U7" s="81"/>
    </row>
    <row r="8" spans="1:21" ht="67.5" x14ac:dyDescent="0.25">
      <c r="A8" s="101" t="s">
        <v>83</v>
      </c>
      <c r="B8" s="41" t="s">
        <v>60</v>
      </c>
      <c r="C8" s="43" t="s">
        <v>94</v>
      </c>
      <c r="D8" s="36" t="s">
        <v>116</v>
      </c>
      <c r="E8" s="81"/>
      <c r="F8" s="81"/>
      <c r="G8" s="81"/>
      <c r="H8" s="81"/>
      <c r="I8" s="81"/>
      <c r="J8" s="81"/>
      <c r="K8" s="81"/>
      <c r="L8" s="81"/>
      <c r="M8" s="81"/>
      <c r="N8" s="81"/>
      <c r="O8" s="81"/>
      <c r="P8" s="81"/>
      <c r="Q8" s="81"/>
      <c r="R8" s="81"/>
      <c r="S8" s="81"/>
      <c r="T8" s="81"/>
      <c r="U8" s="81"/>
    </row>
    <row r="9" spans="1:21" ht="20.25" x14ac:dyDescent="0.25">
      <c r="A9" s="101"/>
      <c r="B9" s="101"/>
      <c r="C9" s="103"/>
      <c r="D9" s="103"/>
      <c r="E9" s="81"/>
      <c r="F9" s="81"/>
      <c r="G9" s="81"/>
      <c r="H9" s="81"/>
      <c r="I9" s="81"/>
      <c r="J9" s="81"/>
      <c r="K9" s="81"/>
      <c r="L9" s="81"/>
      <c r="M9" s="81"/>
      <c r="N9" s="81"/>
      <c r="O9" s="81"/>
      <c r="P9" s="81"/>
      <c r="Q9" s="81"/>
      <c r="R9" s="81"/>
      <c r="S9" s="81"/>
      <c r="T9" s="81"/>
      <c r="U9" s="81"/>
    </row>
    <row r="10" spans="1:21" ht="16.5" x14ac:dyDescent="0.25">
      <c r="A10" s="101"/>
      <c r="B10" s="104"/>
      <c r="C10" s="104"/>
      <c r="D10" s="104"/>
      <c r="E10" s="81"/>
      <c r="F10" s="81"/>
      <c r="G10" s="81"/>
      <c r="H10" s="81"/>
      <c r="I10" s="81"/>
      <c r="J10" s="81"/>
      <c r="K10" s="81"/>
      <c r="L10" s="81"/>
      <c r="M10" s="81"/>
      <c r="N10" s="81"/>
      <c r="O10" s="81"/>
      <c r="P10" s="81"/>
      <c r="Q10" s="81"/>
      <c r="R10" s="81"/>
      <c r="S10" s="81"/>
      <c r="T10" s="81"/>
      <c r="U10" s="81"/>
    </row>
    <row r="11" spans="1:21" x14ac:dyDescent="0.25">
      <c r="A11" s="101"/>
      <c r="B11" s="101" t="s">
        <v>89</v>
      </c>
      <c r="C11" s="101" t="s">
        <v>142</v>
      </c>
      <c r="D11" s="101" t="s">
        <v>149</v>
      </c>
      <c r="E11" s="81"/>
      <c r="F11" s="81"/>
      <c r="G11" s="81"/>
      <c r="H11" s="81"/>
      <c r="I11" s="81"/>
      <c r="J11" s="81"/>
      <c r="K11" s="81"/>
      <c r="L11" s="81"/>
      <c r="M11" s="81"/>
      <c r="N11" s="81"/>
      <c r="O11" s="81"/>
      <c r="P11" s="81"/>
      <c r="Q11" s="81"/>
      <c r="R11" s="81"/>
      <c r="S11" s="81"/>
      <c r="T11" s="81"/>
      <c r="U11" s="81"/>
    </row>
    <row r="12" spans="1:21" x14ac:dyDescent="0.25">
      <c r="A12" s="101"/>
      <c r="B12" s="101" t="s">
        <v>87</v>
      </c>
      <c r="C12" s="101" t="s">
        <v>146</v>
      </c>
      <c r="D12" s="101" t="s">
        <v>150</v>
      </c>
      <c r="E12" s="81"/>
      <c r="F12" s="81"/>
      <c r="G12" s="81"/>
      <c r="H12" s="81"/>
      <c r="I12" s="81"/>
      <c r="J12" s="81"/>
      <c r="K12" s="81"/>
      <c r="L12" s="81"/>
      <c r="M12" s="81"/>
      <c r="N12" s="81"/>
      <c r="O12" s="81"/>
      <c r="P12" s="81"/>
      <c r="Q12" s="81"/>
      <c r="R12" s="81"/>
      <c r="S12" s="81"/>
      <c r="T12" s="81"/>
      <c r="U12" s="81"/>
    </row>
    <row r="13" spans="1:21" x14ac:dyDescent="0.25">
      <c r="A13" s="101"/>
      <c r="B13" s="101"/>
      <c r="C13" s="101" t="s">
        <v>145</v>
      </c>
      <c r="D13" s="101" t="s">
        <v>151</v>
      </c>
      <c r="E13" s="81"/>
      <c r="F13" s="81"/>
      <c r="G13" s="81"/>
      <c r="H13" s="81"/>
      <c r="I13" s="81"/>
      <c r="J13" s="81"/>
      <c r="K13" s="81"/>
      <c r="L13" s="81"/>
      <c r="M13" s="81"/>
      <c r="N13" s="81"/>
      <c r="O13" s="81"/>
      <c r="P13" s="81"/>
      <c r="Q13" s="81"/>
      <c r="R13" s="81"/>
      <c r="S13" s="81"/>
      <c r="T13" s="81"/>
      <c r="U13" s="81"/>
    </row>
    <row r="14" spans="1:21" x14ac:dyDescent="0.25">
      <c r="A14" s="101"/>
      <c r="B14" s="101"/>
      <c r="C14" s="101" t="s">
        <v>147</v>
      </c>
      <c r="D14" s="101" t="s">
        <v>152</v>
      </c>
      <c r="E14" s="81"/>
      <c r="F14" s="81"/>
      <c r="G14" s="81"/>
      <c r="H14" s="81"/>
      <c r="I14" s="81"/>
      <c r="J14" s="81"/>
      <c r="K14" s="81"/>
      <c r="L14" s="81"/>
      <c r="M14" s="81"/>
      <c r="N14" s="81"/>
      <c r="O14" s="81"/>
      <c r="P14" s="81"/>
      <c r="Q14" s="81"/>
      <c r="R14" s="81"/>
      <c r="S14" s="81"/>
      <c r="T14" s="81"/>
      <c r="U14" s="81"/>
    </row>
    <row r="15" spans="1:21" x14ac:dyDescent="0.25">
      <c r="A15" s="101"/>
      <c r="B15" s="101"/>
      <c r="C15" s="101" t="s">
        <v>148</v>
      </c>
      <c r="D15" s="101" t="s">
        <v>153</v>
      </c>
      <c r="E15" s="81"/>
      <c r="F15" s="81"/>
      <c r="G15" s="81"/>
      <c r="H15" s="81"/>
      <c r="I15" s="81"/>
      <c r="J15" s="81"/>
      <c r="K15" s="81"/>
      <c r="L15" s="81"/>
      <c r="M15" s="81"/>
      <c r="N15" s="81"/>
      <c r="O15" s="81"/>
      <c r="P15" s="81"/>
      <c r="Q15" s="81"/>
      <c r="R15" s="81"/>
      <c r="S15" s="81"/>
      <c r="T15" s="81"/>
      <c r="U15" s="81"/>
    </row>
    <row r="16" spans="1:21" x14ac:dyDescent="0.25">
      <c r="A16" s="101"/>
      <c r="B16" s="101"/>
      <c r="C16" s="101"/>
      <c r="D16" s="101"/>
      <c r="E16" s="81"/>
      <c r="F16" s="81"/>
      <c r="G16" s="81"/>
      <c r="H16" s="81"/>
      <c r="I16" s="81"/>
      <c r="J16" s="81"/>
      <c r="K16" s="81"/>
      <c r="L16" s="81"/>
      <c r="M16" s="81"/>
      <c r="N16" s="81"/>
      <c r="O16" s="81"/>
    </row>
    <row r="17" spans="1:15" x14ac:dyDescent="0.25">
      <c r="A17" s="101"/>
      <c r="B17" s="101"/>
      <c r="C17" s="101"/>
      <c r="D17" s="101"/>
      <c r="E17" s="81"/>
      <c r="F17" s="81"/>
      <c r="G17" s="81"/>
      <c r="H17" s="81"/>
      <c r="I17" s="81"/>
      <c r="J17" s="81"/>
      <c r="K17" s="81"/>
      <c r="L17" s="81"/>
      <c r="M17" s="81"/>
      <c r="N17" s="81"/>
      <c r="O17" s="81"/>
    </row>
    <row r="18" spans="1:15" x14ac:dyDescent="0.25">
      <c r="A18" s="101"/>
      <c r="B18" s="105"/>
      <c r="C18" s="105"/>
      <c r="D18" s="105"/>
      <c r="E18" s="81"/>
      <c r="F18" s="81"/>
      <c r="G18" s="81"/>
      <c r="H18" s="81"/>
      <c r="I18" s="81"/>
      <c r="J18" s="81"/>
      <c r="K18" s="81"/>
      <c r="L18" s="81"/>
      <c r="M18" s="81"/>
      <c r="N18" s="81"/>
      <c r="O18" s="81"/>
    </row>
    <row r="19" spans="1:15" x14ac:dyDescent="0.25">
      <c r="A19" s="101"/>
      <c r="B19" s="105"/>
      <c r="C19" s="105"/>
      <c r="D19" s="105"/>
      <c r="E19" s="81"/>
      <c r="F19" s="81"/>
      <c r="G19" s="81"/>
      <c r="H19" s="81"/>
      <c r="I19" s="81"/>
      <c r="J19" s="81"/>
      <c r="K19" s="81"/>
      <c r="L19" s="81"/>
      <c r="M19" s="81"/>
      <c r="N19" s="81"/>
      <c r="O19" s="81"/>
    </row>
    <row r="20" spans="1:15" x14ac:dyDescent="0.25">
      <c r="A20" s="101"/>
      <c r="B20" s="105"/>
      <c r="C20" s="105"/>
      <c r="D20" s="105"/>
      <c r="E20" s="81"/>
      <c r="F20" s="81"/>
      <c r="G20" s="81"/>
      <c r="H20" s="81"/>
      <c r="I20" s="81"/>
      <c r="J20" s="81"/>
      <c r="K20" s="81"/>
      <c r="L20" s="81"/>
      <c r="M20" s="81"/>
      <c r="N20" s="81"/>
      <c r="O20" s="81"/>
    </row>
    <row r="21" spans="1:15" x14ac:dyDescent="0.25">
      <c r="A21" s="101"/>
      <c r="B21" s="105"/>
      <c r="C21" s="105"/>
      <c r="D21" s="105"/>
      <c r="E21" s="81"/>
      <c r="F21" s="81"/>
      <c r="G21" s="81"/>
      <c r="H21" s="81"/>
      <c r="I21" s="81"/>
      <c r="J21" s="81"/>
      <c r="K21" s="81"/>
      <c r="L21" s="81"/>
      <c r="M21" s="81"/>
      <c r="N21" s="81"/>
      <c r="O21" s="81"/>
    </row>
    <row r="22" spans="1:15" ht="20.25" x14ac:dyDescent="0.25">
      <c r="A22" s="101"/>
      <c r="B22" s="101"/>
      <c r="C22" s="103"/>
      <c r="D22" s="103"/>
      <c r="E22" s="81"/>
      <c r="F22" s="81"/>
      <c r="G22" s="81"/>
      <c r="H22" s="81"/>
      <c r="I22" s="81"/>
      <c r="J22" s="81"/>
      <c r="K22" s="81"/>
      <c r="L22" s="81"/>
      <c r="M22" s="81"/>
      <c r="N22" s="81"/>
      <c r="O22" s="81"/>
    </row>
    <row r="23" spans="1:15" ht="20.25" x14ac:dyDescent="0.25">
      <c r="A23" s="101"/>
      <c r="B23" s="101"/>
      <c r="C23" s="103"/>
      <c r="D23" s="103"/>
      <c r="E23" s="81"/>
      <c r="F23" s="81"/>
      <c r="G23" s="81"/>
      <c r="H23" s="81"/>
      <c r="I23" s="81"/>
      <c r="J23" s="81"/>
      <c r="K23" s="81"/>
      <c r="L23" s="81"/>
      <c r="M23" s="81"/>
      <c r="N23" s="81"/>
      <c r="O23" s="81"/>
    </row>
    <row r="24" spans="1:15" ht="20.25" x14ac:dyDescent="0.25">
      <c r="A24" s="101"/>
      <c r="B24" s="101"/>
      <c r="C24" s="103"/>
      <c r="D24" s="103"/>
      <c r="E24" s="81"/>
      <c r="F24" s="81"/>
      <c r="G24" s="81"/>
      <c r="H24" s="81"/>
      <c r="I24" s="81"/>
      <c r="J24" s="81"/>
      <c r="K24" s="81"/>
      <c r="L24" s="81"/>
      <c r="M24" s="81"/>
      <c r="N24" s="81"/>
      <c r="O24" s="81"/>
    </row>
    <row r="25" spans="1:15" ht="20.25" x14ac:dyDescent="0.25">
      <c r="A25" s="101"/>
      <c r="B25" s="101"/>
      <c r="C25" s="103"/>
      <c r="D25" s="103"/>
      <c r="E25" s="81"/>
      <c r="F25" s="81"/>
      <c r="G25" s="81"/>
      <c r="H25" s="81"/>
      <c r="I25" s="81"/>
      <c r="J25" s="81"/>
      <c r="K25" s="81"/>
      <c r="L25" s="81"/>
      <c r="M25" s="81"/>
      <c r="N25" s="81"/>
      <c r="O25" s="81"/>
    </row>
    <row r="26" spans="1:15" ht="20.25" x14ac:dyDescent="0.25">
      <c r="A26" s="101"/>
      <c r="B26" s="101"/>
      <c r="C26" s="103"/>
      <c r="D26" s="103"/>
      <c r="E26" s="81"/>
      <c r="F26" s="81"/>
      <c r="G26" s="81"/>
      <c r="H26" s="81"/>
      <c r="I26" s="81"/>
      <c r="J26" s="81"/>
      <c r="K26" s="81"/>
      <c r="L26" s="81"/>
      <c r="M26" s="81"/>
      <c r="N26" s="81"/>
      <c r="O26" s="81"/>
    </row>
    <row r="27" spans="1:15" ht="20.25" x14ac:dyDescent="0.25">
      <c r="A27" s="101"/>
      <c r="B27" s="101"/>
      <c r="C27" s="103"/>
      <c r="D27" s="103"/>
      <c r="E27" s="81"/>
      <c r="F27" s="81"/>
      <c r="G27" s="81"/>
      <c r="H27" s="81"/>
      <c r="I27" s="81"/>
      <c r="J27" s="81"/>
      <c r="K27" s="81"/>
      <c r="L27" s="81"/>
      <c r="M27" s="81"/>
      <c r="N27" s="81"/>
      <c r="O27" s="81"/>
    </row>
    <row r="28" spans="1:15" ht="20.25" x14ac:dyDescent="0.25">
      <c r="A28" s="101"/>
      <c r="B28" s="101"/>
      <c r="C28" s="103"/>
      <c r="D28" s="103"/>
      <c r="E28" s="81"/>
      <c r="F28" s="81"/>
      <c r="G28" s="81"/>
      <c r="H28" s="81"/>
      <c r="I28" s="81"/>
      <c r="J28" s="81"/>
      <c r="K28" s="81"/>
      <c r="L28" s="81"/>
      <c r="M28" s="81"/>
      <c r="N28" s="81"/>
      <c r="O28" s="81"/>
    </row>
    <row r="29" spans="1:15" ht="20.25" x14ac:dyDescent="0.25">
      <c r="A29" s="101"/>
      <c r="B29" s="101"/>
      <c r="C29" s="103"/>
      <c r="D29" s="103"/>
      <c r="E29" s="81"/>
      <c r="F29" s="81"/>
      <c r="G29" s="81"/>
      <c r="H29" s="81"/>
      <c r="I29" s="81"/>
      <c r="J29" s="81"/>
      <c r="K29" s="81"/>
      <c r="L29" s="81"/>
      <c r="M29" s="81"/>
      <c r="N29" s="81"/>
      <c r="O29" s="81"/>
    </row>
    <row r="30" spans="1:15" ht="20.25" x14ac:dyDescent="0.25">
      <c r="A30" s="101"/>
      <c r="B30" s="101"/>
      <c r="C30" s="103"/>
      <c r="D30" s="103"/>
      <c r="E30" s="81"/>
      <c r="F30" s="81"/>
      <c r="G30" s="81"/>
      <c r="H30" s="81"/>
      <c r="I30" s="81"/>
      <c r="J30" s="81"/>
      <c r="K30" s="81"/>
      <c r="L30" s="81"/>
      <c r="M30" s="81"/>
      <c r="N30" s="81"/>
      <c r="O30" s="81"/>
    </row>
    <row r="31" spans="1:15" ht="20.25" x14ac:dyDescent="0.25">
      <c r="A31" s="101"/>
      <c r="B31" s="101"/>
      <c r="C31" s="103"/>
      <c r="D31" s="103"/>
      <c r="E31" s="81"/>
      <c r="F31" s="81"/>
      <c r="G31" s="81"/>
      <c r="H31" s="81"/>
      <c r="I31" s="81"/>
      <c r="J31" s="81"/>
      <c r="K31" s="81"/>
      <c r="L31" s="81"/>
      <c r="M31" s="81"/>
      <c r="N31" s="81"/>
      <c r="O31" s="81"/>
    </row>
    <row r="32" spans="1:15" ht="20.25" x14ac:dyDescent="0.25">
      <c r="A32" s="101"/>
      <c r="B32" s="101"/>
      <c r="C32" s="103"/>
      <c r="D32" s="103"/>
      <c r="E32" s="81"/>
      <c r="F32" s="81"/>
      <c r="G32" s="81"/>
      <c r="H32" s="81"/>
      <c r="I32" s="81"/>
      <c r="J32" s="81"/>
      <c r="K32" s="81"/>
      <c r="L32" s="81"/>
      <c r="M32" s="81"/>
      <c r="N32" s="81"/>
      <c r="O32" s="81"/>
    </row>
    <row r="33" spans="1:15" ht="20.25" x14ac:dyDescent="0.25">
      <c r="A33" s="101"/>
      <c r="B33" s="101"/>
      <c r="C33" s="103"/>
      <c r="D33" s="103"/>
      <c r="E33" s="81"/>
      <c r="F33" s="81"/>
      <c r="G33" s="81"/>
      <c r="H33" s="81"/>
      <c r="I33" s="81"/>
      <c r="J33" s="81"/>
      <c r="K33" s="81"/>
      <c r="L33" s="81"/>
      <c r="M33" s="81"/>
      <c r="N33" s="81"/>
      <c r="O33" s="81"/>
    </row>
    <row r="34" spans="1:15" ht="20.25" x14ac:dyDescent="0.25">
      <c r="A34" s="101"/>
      <c r="B34" s="101"/>
      <c r="C34" s="103"/>
      <c r="D34" s="103"/>
      <c r="E34" s="81"/>
      <c r="F34" s="81"/>
      <c r="G34" s="81"/>
      <c r="H34" s="81"/>
      <c r="I34" s="81"/>
      <c r="J34" s="81"/>
      <c r="K34" s="81"/>
      <c r="L34" s="81"/>
      <c r="M34" s="81"/>
      <c r="N34" s="81"/>
      <c r="O34" s="81"/>
    </row>
    <row r="35" spans="1:15" ht="20.25" x14ac:dyDescent="0.25">
      <c r="A35" s="101"/>
      <c r="B35" s="101"/>
      <c r="C35" s="103"/>
      <c r="D35" s="103"/>
      <c r="E35" s="81"/>
      <c r="F35" s="81"/>
      <c r="G35" s="81"/>
      <c r="H35" s="81"/>
      <c r="I35" s="81"/>
      <c r="J35" s="81"/>
      <c r="K35" s="81"/>
      <c r="L35" s="81"/>
      <c r="M35" s="81"/>
      <c r="N35" s="81"/>
      <c r="O35" s="81"/>
    </row>
    <row r="36" spans="1:15" ht="20.25" x14ac:dyDescent="0.25">
      <c r="A36" s="101"/>
      <c r="B36" s="101"/>
      <c r="C36" s="103"/>
      <c r="D36" s="103"/>
      <c r="E36" s="81"/>
      <c r="F36" s="81"/>
      <c r="G36" s="81"/>
      <c r="H36" s="81"/>
      <c r="I36" s="81"/>
      <c r="J36" s="81"/>
      <c r="K36" s="81"/>
      <c r="L36" s="81"/>
      <c r="M36" s="81"/>
      <c r="N36" s="81"/>
      <c r="O36" s="81"/>
    </row>
    <row r="37" spans="1:15" ht="20.25" x14ac:dyDescent="0.25">
      <c r="A37" s="101"/>
      <c r="B37" s="101"/>
      <c r="C37" s="103"/>
      <c r="D37" s="103"/>
      <c r="E37" s="81"/>
      <c r="F37" s="81"/>
      <c r="G37" s="81"/>
      <c r="H37" s="81"/>
      <c r="I37" s="81"/>
      <c r="J37" s="81"/>
      <c r="K37" s="81"/>
      <c r="L37" s="81"/>
      <c r="M37" s="81"/>
      <c r="N37" s="81"/>
      <c r="O37" s="81"/>
    </row>
    <row r="38" spans="1:15" ht="20.25" x14ac:dyDescent="0.25">
      <c r="A38" s="101"/>
      <c r="B38" s="101"/>
      <c r="C38" s="103"/>
      <c r="D38" s="103"/>
      <c r="E38" s="81"/>
      <c r="F38" s="81"/>
      <c r="G38" s="81"/>
      <c r="H38" s="81"/>
      <c r="I38" s="81"/>
      <c r="J38" s="81"/>
      <c r="K38" s="81"/>
      <c r="L38" s="81"/>
      <c r="M38" s="81"/>
      <c r="N38" s="81"/>
      <c r="O38" s="81"/>
    </row>
    <row r="39" spans="1:15" ht="20.25" x14ac:dyDescent="0.25">
      <c r="A39" s="101"/>
      <c r="B39" s="101"/>
      <c r="C39" s="103"/>
      <c r="D39" s="103"/>
      <c r="E39" s="81"/>
      <c r="F39" s="81"/>
      <c r="G39" s="81"/>
      <c r="H39" s="81"/>
      <c r="I39" s="81"/>
      <c r="J39" s="81"/>
      <c r="K39" s="81"/>
      <c r="L39" s="81"/>
      <c r="M39" s="81"/>
      <c r="N39" s="81"/>
      <c r="O39" s="81"/>
    </row>
    <row r="40" spans="1:15" ht="20.25" x14ac:dyDescent="0.25">
      <c r="A40" s="101"/>
      <c r="B40" s="101"/>
      <c r="C40" s="103"/>
      <c r="D40" s="103"/>
      <c r="E40" s="81"/>
      <c r="F40" s="81"/>
      <c r="G40" s="81"/>
      <c r="H40" s="81"/>
      <c r="I40" s="81"/>
      <c r="J40" s="81"/>
      <c r="K40" s="81"/>
      <c r="L40" s="81"/>
      <c r="M40" s="81"/>
      <c r="N40" s="81"/>
      <c r="O40" s="81"/>
    </row>
    <row r="41" spans="1:15" ht="20.25" x14ac:dyDescent="0.25">
      <c r="A41" s="101"/>
      <c r="B41" s="101"/>
      <c r="C41" s="103"/>
      <c r="D41" s="103"/>
      <c r="E41" s="81"/>
      <c r="F41" s="81"/>
      <c r="G41" s="81"/>
      <c r="H41" s="81"/>
      <c r="I41" s="81"/>
      <c r="J41" s="81"/>
      <c r="K41" s="81"/>
      <c r="L41" s="81"/>
      <c r="M41" s="81"/>
      <c r="N41" s="81"/>
      <c r="O41" s="81"/>
    </row>
    <row r="42" spans="1:15" ht="20.25" x14ac:dyDescent="0.25">
      <c r="A42" s="101"/>
      <c r="B42" s="101"/>
      <c r="C42" s="103"/>
      <c r="D42" s="103"/>
      <c r="E42" s="81"/>
      <c r="F42" s="81"/>
      <c r="G42" s="81"/>
      <c r="H42" s="81"/>
      <c r="I42" s="81"/>
      <c r="J42" s="81"/>
      <c r="K42" s="81"/>
      <c r="L42" s="81"/>
      <c r="M42" s="81"/>
      <c r="N42" s="81"/>
      <c r="O42" s="81"/>
    </row>
    <row r="43" spans="1:15" ht="20.25" x14ac:dyDescent="0.25">
      <c r="A43" s="101"/>
      <c r="B43" s="101"/>
      <c r="C43" s="103"/>
      <c r="D43" s="103"/>
      <c r="E43" s="81"/>
      <c r="F43" s="81"/>
      <c r="G43" s="81"/>
      <c r="H43" s="81"/>
      <c r="I43" s="81"/>
      <c r="J43" s="81"/>
      <c r="K43" s="81"/>
      <c r="L43" s="81"/>
      <c r="M43" s="81"/>
      <c r="N43" s="81"/>
      <c r="O43" s="81"/>
    </row>
    <row r="44" spans="1:15" ht="20.25" x14ac:dyDescent="0.25">
      <c r="A44" s="101"/>
      <c r="B44" s="101"/>
      <c r="C44" s="103"/>
      <c r="D44" s="103"/>
      <c r="E44" s="81"/>
      <c r="F44" s="81"/>
      <c r="G44" s="81"/>
      <c r="H44" s="81"/>
      <c r="I44" s="81"/>
      <c r="J44" s="81"/>
      <c r="K44" s="81"/>
      <c r="L44" s="81"/>
      <c r="M44" s="81"/>
      <c r="N44" s="81"/>
      <c r="O44" s="81"/>
    </row>
    <row r="45" spans="1:15" ht="20.25" x14ac:dyDescent="0.25">
      <c r="A45" s="101"/>
      <c r="B45" s="101"/>
      <c r="C45" s="103"/>
      <c r="D45" s="103"/>
      <c r="E45" s="81"/>
      <c r="F45" s="81"/>
      <c r="G45" s="81"/>
      <c r="H45" s="81"/>
      <c r="I45" s="81"/>
      <c r="J45" s="81"/>
      <c r="K45" s="81"/>
      <c r="L45" s="81"/>
      <c r="M45" s="81"/>
      <c r="N45" s="81"/>
      <c r="O45" s="81"/>
    </row>
    <row r="46" spans="1:15" ht="20.25" x14ac:dyDescent="0.25">
      <c r="A46" s="101"/>
      <c r="B46" s="101"/>
      <c r="C46" s="103"/>
      <c r="D46" s="103"/>
      <c r="E46" s="81"/>
      <c r="F46" s="81"/>
      <c r="G46" s="81"/>
      <c r="H46" s="81"/>
      <c r="I46" s="81"/>
      <c r="J46" s="81"/>
      <c r="K46" s="81"/>
      <c r="L46" s="81"/>
      <c r="M46" s="81"/>
      <c r="N46" s="81"/>
      <c r="O46" s="81"/>
    </row>
    <row r="47" spans="1:15" ht="20.25" x14ac:dyDescent="0.25">
      <c r="A47" s="101"/>
      <c r="B47" s="101"/>
      <c r="C47" s="103"/>
      <c r="D47" s="103"/>
      <c r="E47" s="81"/>
      <c r="F47" s="81"/>
      <c r="G47" s="81"/>
      <c r="H47" s="81"/>
      <c r="I47" s="81"/>
      <c r="J47" s="81"/>
      <c r="K47" s="81"/>
      <c r="L47" s="81"/>
      <c r="M47" s="81"/>
      <c r="N47" s="81"/>
      <c r="O47" s="81"/>
    </row>
    <row r="48" spans="1:15" ht="20.25" x14ac:dyDescent="0.25">
      <c r="A48" s="101"/>
      <c r="B48" s="101"/>
      <c r="C48" s="103"/>
      <c r="D48" s="103"/>
      <c r="E48" s="81"/>
      <c r="F48" s="81"/>
      <c r="G48" s="81"/>
      <c r="H48" s="81"/>
      <c r="I48" s="81"/>
      <c r="J48" s="81"/>
      <c r="K48" s="81"/>
      <c r="L48" s="81"/>
      <c r="M48" s="81"/>
      <c r="N48" s="81"/>
      <c r="O48" s="81"/>
    </row>
    <row r="49" spans="1:15" ht="20.25" x14ac:dyDescent="0.25">
      <c r="A49" s="101"/>
      <c r="B49" s="101"/>
      <c r="C49" s="103"/>
      <c r="D49" s="103"/>
      <c r="E49" s="81"/>
      <c r="F49" s="81"/>
      <c r="G49" s="81"/>
      <c r="H49" s="81"/>
      <c r="I49" s="81"/>
      <c r="J49" s="81"/>
      <c r="K49" s="81"/>
      <c r="L49" s="81"/>
      <c r="M49" s="81"/>
      <c r="N49" s="81"/>
      <c r="O49" s="81"/>
    </row>
    <row r="50" spans="1:15" ht="20.25" x14ac:dyDescent="0.25">
      <c r="A50" s="101"/>
      <c r="B50" s="101"/>
      <c r="C50" s="103"/>
      <c r="D50" s="103"/>
      <c r="E50" s="81"/>
      <c r="F50" s="81"/>
      <c r="G50" s="81"/>
      <c r="H50" s="81"/>
      <c r="I50" s="81"/>
      <c r="J50" s="81"/>
      <c r="K50" s="81"/>
      <c r="L50" s="81"/>
      <c r="M50" s="81"/>
      <c r="N50" s="81"/>
      <c r="O50" s="81"/>
    </row>
    <row r="51" spans="1:15" ht="20.25" x14ac:dyDescent="0.25">
      <c r="A51" s="101"/>
      <c r="B51" s="101"/>
      <c r="C51" s="103"/>
      <c r="D51" s="103"/>
      <c r="E51" s="81"/>
      <c r="F51" s="81"/>
      <c r="G51" s="81"/>
      <c r="H51" s="81"/>
      <c r="I51" s="81"/>
      <c r="J51" s="81"/>
      <c r="K51" s="81"/>
      <c r="L51" s="81"/>
      <c r="M51" s="81"/>
      <c r="N51" s="81"/>
      <c r="O51" s="81"/>
    </row>
    <row r="52" spans="1:15" ht="20.25" x14ac:dyDescent="0.25">
      <c r="A52" s="101"/>
      <c r="B52" s="23"/>
      <c r="C52" s="32"/>
      <c r="D52" s="32"/>
    </row>
    <row r="53" spans="1:15" ht="20.25" x14ac:dyDescent="0.25">
      <c r="A53" s="101"/>
      <c r="B53" s="23"/>
      <c r="C53" s="32"/>
      <c r="D53" s="32"/>
    </row>
    <row r="54" spans="1:15" ht="20.25" x14ac:dyDescent="0.25">
      <c r="A54" s="101"/>
      <c r="B54" s="23"/>
      <c r="C54" s="32"/>
      <c r="D54" s="32"/>
    </row>
    <row r="55" spans="1:15" ht="20.25" x14ac:dyDescent="0.25">
      <c r="A55" s="101"/>
      <c r="B55" s="23"/>
      <c r="C55" s="32"/>
      <c r="D55" s="32"/>
    </row>
    <row r="56" spans="1:15" ht="20.25" x14ac:dyDescent="0.25">
      <c r="A56" s="101"/>
      <c r="B56" s="23"/>
      <c r="C56" s="32"/>
      <c r="D56" s="32"/>
    </row>
    <row r="57" spans="1:15" ht="20.25" x14ac:dyDescent="0.25">
      <c r="A57" s="101"/>
      <c r="B57" s="23"/>
      <c r="C57" s="32"/>
      <c r="D57" s="32"/>
    </row>
    <row r="58" spans="1:15" ht="20.25" x14ac:dyDescent="0.25">
      <c r="A58" s="101"/>
      <c r="B58" s="23"/>
      <c r="C58" s="32"/>
      <c r="D58" s="32"/>
    </row>
    <row r="59" spans="1:15" ht="20.25" x14ac:dyDescent="0.25">
      <c r="A59" s="101"/>
      <c r="B59" s="23"/>
      <c r="C59" s="32"/>
      <c r="D59" s="32"/>
    </row>
    <row r="60" spans="1:15" ht="20.25" x14ac:dyDescent="0.25">
      <c r="A60" s="101"/>
      <c r="B60" s="23"/>
      <c r="C60" s="32"/>
      <c r="D60" s="32"/>
    </row>
    <row r="61" spans="1:15" ht="20.25" x14ac:dyDescent="0.25">
      <c r="A61" s="101"/>
      <c r="B61" s="23"/>
      <c r="C61" s="32"/>
      <c r="D61" s="32"/>
    </row>
    <row r="62" spans="1:15" ht="20.25" x14ac:dyDescent="0.25">
      <c r="A62" s="101"/>
      <c r="B62" s="23"/>
      <c r="C62" s="32"/>
      <c r="D62" s="32"/>
    </row>
    <row r="63" spans="1:15" ht="20.25" x14ac:dyDescent="0.25">
      <c r="A63" s="101"/>
      <c r="B63" s="23"/>
      <c r="C63" s="32"/>
      <c r="D63" s="32"/>
    </row>
    <row r="64" spans="1:15" ht="20.25" x14ac:dyDescent="0.25">
      <c r="A64" s="101"/>
      <c r="B64" s="23"/>
      <c r="C64" s="32"/>
      <c r="D64" s="32"/>
    </row>
    <row r="65" spans="1:4" ht="20.25" x14ac:dyDescent="0.25">
      <c r="A65" s="101"/>
      <c r="B65" s="23"/>
      <c r="C65" s="32"/>
      <c r="D65" s="32"/>
    </row>
    <row r="66" spans="1:4" ht="20.25" x14ac:dyDescent="0.25">
      <c r="A66" s="101"/>
      <c r="B66" s="23"/>
      <c r="C66" s="32"/>
      <c r="D66" s="32"/>
    </row>
    <row r="67" spans="1:4" ht="20.25" x14ac:dyDescent="0.25">
      <c r="A67" s="101"/>
      <c r="B67" s="23"/>
      <c r="C67" s="32"/>
      <c r="D67" s="32"/>
    </row>
    <row r="68" spans="1:4" ht="20.25" x14ac:dyDescent="0.25">
      <c r="A68" s="101"/>
      <c r="B68" s="23"/>
      <c r="C68" s="32"/>
      <c r="D68" s="32"/>
    </row>
    <row r="69" spans="1:4" ht="20.25" x14ac:dyDescent="0.25">
      <c r="A69" s="101"/>
      <c r="B69" s="23"/>
      <c r="C69" s="32"/>
      <c r="D69" s="32"/>
    </row>
    <row r="70" spans="1:4" ht="20.25" x14ac:dyDescent="0.25">
      <c r="A70" s="101"/>
      <c r="B70" s="23"/>
      <c r="C70" s="32"/>
      <c r="D70" s="32"/>
    </row>
    <row r="71" spans="1:4" ht="20.25" x14ac:dyDescent="0.25">
      <c r="A71" s="101"/>
      <c r="B71" s="23"/>
      <c r="C71" s="32"/>
      <c r="D71" s="32"/>
    </row>
    <row r="72" spans="1:4" ht="20.25" x14ac:dyDescent="0.25">
      <c r="A72" s="101"/>
      <c r="B72" s="23"/>
      <c r="C72" s="32"/>
      <c r="D72" s="32"/>
    </row>
    <row r="73" spans="1:4" ht="20.25" x14ac:dyDescent="0.25">
      <c r="A73" s="101"/>
      <c r="B73" s="23"/>
      <c r="C73" s="32"/>
      <c r="D73" s="32"/>
    </row>
    <row r="74" spans="1:4" ht="20.25" x14ac:dyDescent="0.25">
      <c r="A74" s="101"/>
      <c r="B74" s="23"/>
      <c r="C74" s="32"/>
      <c r="D74" s="32"/>
    </row>
    <row r="75" spans="1:4" ht="20.25" x14ac:dyDescent="0.25">
      <c r="A75" s="101"/>
      <c r="B75" s="23"/>
      <c r="C75" s="32"/>
      <c r="D75" s="32"/>
    </row>
    <row r="76" spans="1:4" ht="20.25" x14ac:dyDescent="0.25">
      <c r="A76" s="101"/>
      <c r="B76" s="23"/>
      <c r="C76" s="32"/>
      <c r="D76" s="32"/>
    </row>
    <row r="77" spans="1:4" ht="20.25" x14ac:dyDescent="0.25">
      <c r="A77" s="101"/>
      <c r="B77" s="23"/>
      <c r="C77" s="32"/>
      <c r="D77" s="32"/>
    </row>
    <row r="78" spans="1:4" ht="20.25" x14ac:dyDescent="0.25">
      <c r="A78" s="101"/>
      <c r="B78" s="23"/>
      <c r="C78" s="32"/>
      <c r="D78" s="32"/>
    </row>
    <row r="79" spans="1:4" ht="20.25" x14ac:dyDescent="0.25">
      <c r="A79" s="101"/>
      <c r="B79" s="23"/>
      <c r="C79" s="32"/>
      <c r="D79" s="32"/>
    </row>
    <row r="80" spans="1:4" ht="20.25" x14ac:dyDescent="0.25">
      <c r="A80" s="101"/>
      <c r="B80" s="23"/>
      <c r="C80" s="32"/>
      <c r="D80" s="32"/>
    </row>
    <row r="81" spans="1:4" ht="20.25" x14ac:dyDescent="0.25">
      <c r="A81" s="101"/>
      <c r="B81" s="23"/>
      <c r="C81" s="32"/>
      <c r="D81" s="32"/>
    </row>
    <row r="82" spans="1:4" ht="20.25" x14ac:dyDescent="0.25">
      <c r="A82" s="101"/>
      <c r="B82" s="23"/>
      <c r="C82" s="32"/>
      <c r="D82" s="32"/>
    </row>
    <row r="83" spans="1:4" ht="20.25" x14ac:dyDescent="0.25">
      <c r="A83" s="101"/>
      <c r="B83" s="23"/>
      <c r="C83" s="32"/>
      <c r="D83" s="32"/>
    </row>
    <row r="84" spans="1:4" ht="20.25" x14ac:dyDescent="0.25">
      <c r="A84" s="101"/>
      <c r="B84" s="23"/>
      <c r="C84" s="32"/>
      <c r="D84" s="32"/>
    </row>
    <row r="85" spans="1:4" ht="20.25" x14ac:dyDescent="0.25">
      <c r="A85" s="101"/>
      <c r="B85" s="23"/>
      <c r="C85" s="32"/>
      <c r="D85" s="32"/>
    </row>
    <row r="86" spans="1:4" ht="20.25" x14ac:dyDescent="0.25">
      <c r="A86" s="101"/>
      <c r="B86" s="23"/>
      <c r="C86" s="32"/>
      <c r="D86" s="32"/>
    </row>
    <row r="87" spans="1:4" ht="20.25" x14ac:dyDescent="0.25">
      <c r="A87" s="101"/>
      <c r="B87" s="23"/>
      <c r="C87" s="32"/>
      <c r="D87" s="32"/>
    </row>
    <row r="88" spans="1:4" ht="20.25" x14ac:dyDescent="0.25">
      <c r="A88" s="101"/>
      <c r="B88" s="23"/>
      <c r="C88" s="32"/>
      <c r="D88" s="32"/>
    </row>
    <row r="89" spans="1:4" ht="20.25" x14ac:dyDescent="0.25">
      <c r="A89" s="101"/>
      <c r="B89" s="23"/>
      <c r="C89" s="32"/>
      <c r="D89" s="32"/>
    </row>
    <row r="90" spans="1:4" ht="20.25" x14ac:dyDescent="0.25">
      <c r="A90" s="101"/>
      <c r="B90" s="23"/>
      <c r="C90" s="32"/>
      <c r="D90" s="32"/>
    </row>
    <row r="91" spans="1:4" ht="20.25" x14ac:dyDescent="0.25">
      <c r="A91" s="101"/>
      <c r="B91" s="23"/>
      <c r="C91" s="32"/>
      <c r="D91" s="32"/>
    </row>
    <row r="92" spans="1:4" ht="20.25" x14ac:dyDescent="0.25">
      <c r="A92" s="101"/>
      <c r="B92" s="23"/>
      <c r="C92" s="32"/>
      <c r="D92" s="32"/>
    </row>
    <row r="93" spans="1:4" ht="20.25" x14ac:dyDescent="0.25">
      <c r="A93" s="101"/>
      <c r="B93" s="23"/>
      <c r="C93" s="32"/>
      <c r="D93" s="32"/>
    </row>
    <row r="94" spans="1:4" ht="20.25" x14ac:dyDescent="0.25">
      <c r="A94" s="101"/>
      <c r="B94" s="23"/>
      <c r="C94" s="32"/>
      <c r="D94" s="32"/>
    </row>
    <row r="95" spans="1:4" ht="20.25" x14ac:dyDescent="0.25">
      <c r="A95" s="101"/>
      <c r="B95" s="23"/>
      <c r="C95" s="32"/>
      <c r="D95" s="32"/>
    </row>
    <row r="96" spans="1:4" ht="20.25" x14ac:dyDescent="0.25">
      <c r="A96" s="101"/>
      <c r="B96" s="23"/>
      <c r="C96" s="32"/>
      <c r="D96" s="32"/>
    </row>
    <row r="97" spans="1:4" ht="20.25" x14ac:dyDescent="0.25">
      <c r="A97" s="101"/>
      <c r="B97" s="23"/>
      <c r="C97" s="32"/>
      <c r="D97" s="32"/>
    </row>
    <row r="98" spans="1:4" ht="20.25" x14ac:dyDescent="0.25">
      <c r="A98" s="101"/>
      <c r="B98" s="23"/>
      <c r="C98" s="32"/>
      <c r="D98" s="32"/>
    </row>
    <row r="99" spans="1:4" ht="20.25" x14ac:dyDescent="0.25">
      <c r="A99" s="101"/>
      <c r="B99" s="23"/>
      <c r="C99" s="32"/>
      <c r="D99" s="32"/>
    </row>
    <row r="100" spans="1:4" ht="20.25" x14ac:dyDescent="0.25">
      <c r="A100" s="101"/>
      <c r="B100" s="23"/>
      <c r="C100" s="32"/>
      <c r="D100" s="32"/>
    </row>
    <row r="101" spans="1:4" ht="20.25" x14ac:dyDescent="0.25">
      <c r="A101" s="101"/>
      <c r="B101" s="23"/>
      <c r="C101" s="32"/>
      <c r="D101" s="32"/>
    </row>
    <row r="102" spans="1:4" ht="20.25" x14ac:dyDescent="0.25">
      <c r="A102" s="101"/>
      <c r="B102" s="23"/>
      <c r="C102" s="32"/>
      <c r="D102" s="32"/>
    </row>
    <row r="103" spans="1:4" ht="20.25" x14ac:dyDescent="0.25">
      <c r="A103" s="101"/>
      <c r="B103" s="23"/>
      <c r="C103" s="32"/>
      <c r="D103" s="32"/>
    </row>
    <row r="104" spans="1:4" ht="20.25" x14ac:dyDescent="0.25">
      <c r="A104" s="101"/>
      <c r="B104" s="23"/>
      <c r="C104" s="32"/>
      <c r="D104" s="32"/>
    </row>
    <row r="105" spans="1:4" ht="20.25" x14ac:dyDescent="0.25">
      <c r="A105" s="101"/>
      <c r="B105" s="23"/>
      <c r="C105" s="32"/>
      <c r="D105" s="32"/>
    </row>
    <row r="106" spans="1:4" ht="20.25" x14ac:dyDescent="0.25">
      <c r="A106" s="101"/>
      <c r="B106" s="23"/>
      <c r="C106" s="32"/>
      <c r="D106" s="32"/>
    </row>
    <row r="107" spans="1:4" ht="20.25" x14ac:dyDescent="0.25">
      <c r="A107" s="101"/>
      <c r="B107" s="23"/>
      <c r="C107" s="32"/>
      <c r="D107" s="32"/>
    </row>
    <row r="108" spans="1:4" ht="20.25" x14ac:dyDescent="0.25">
      <c r="A108" s="101"/>
      <c r="B108" s="23"/>
      <c r="C108" s="32"/>
      <c r="D108" s="32"/>
    </row>
    <row r="109" spans="1:4" ht="20.25" x14ac:dyDescent="0.25">
      <c r="A109" s="101"/>
      <c r="B109" s="23"/>
      <c r="C109" s="32"/>
      <c r="D109" s="32"/>
    </row>
    <row r="110" spans="1:4" ht="20.25" x14ac:dyDescent="0.25">
      <c r="A110" s="101"/>
      <c r="B110" s="23"/>
      <c r="C110" s="32"/>
      <c r="D110" s="32"/>
    </row>
    <row r="111" spans="1:4" ht="20.25" x14ac:dyDescent="0.25">
      <c r="A111" s="101"/>
      <c r="B111" s="23"/>
      <c r="C111" s="32"/>
      <c r="D111" s="32"/>
    </row>
    <row r="112" spans="1:4" ht="20.25" x14ac:dyDescent="0.25">
      <c r="A112" s="101"/>
      <c r="B112" s="23"/>
      <c r="C112" s="32"/>
      <c r="D112" s="32"/>
    </row>
    <row r="113" spans="1:4" ht="20.25" x14ac:dyDescent="0.25">
      <c r="A113" s="101"/>
      <c r="B113" s="23"/>
      <c r="C113" s="32"/>
      <c r="D113" s="32"/>
    </row>
    <row r="114" spans="1:4" ht="20.25" x14ac:dyDescent="0.25">
      <c r="A114" s="101"/>
      <c r="B114" s="23"/>
      <c r="C114" s="32"/>
      <c r="D114" s="32"/>
    </row>
    <row r="115" spans="1:4" ht="20.25" x14ac:dyDescent="0.25">
      <c r="A115" s="101"/>
      <c r="B115" s="23"/>
      <c r="C115" s="32"/>
      <c r="D115" s="32"/>
    </row>
    <row r="116" spans="1:4" ht="20.25" x14ac:dyDescent="0.25">
      <c r="A116" s="101"/>
      <c r="B116" s="23"/>
      <c r="C116" s="32"/>
      <c r="D116" s="32"/>
    </row>
    <row r="117" spans="1:4" ht="20.25" x14ac:dyDescent="0.25">
      <c r="A117" s="101"/>
      <c r="B117" s="23"/>
      <c r="C117" s="32"/>
      <c r="D117" s="32"/>
    </row>
    <row r="118" spans="1:4" ht="20.25" x14ac:dyDescent="0.25">
      <c r="A118" s="101"/>
      <c r="B118" s="23"/>
      <c r="C118" s="32"/>
      <c r="D118" s="32"/>
    </row>
    <row r="119" spans="1:4" ht="20.25" x14ac:dyDescent="0.25">
      <c r="A119" s="101"/>
      <c r="B119" s="23"/>
      <c r="C119" s="32"/>
      <c r="D119" s="32"/>
    </row>
    <row r="120" spans="1:4" ht="20.25" x14ac:dyDescent="0.25">
      <c r="A120" s="101"/>
      <c r="B120" s="23"/>
      <c r="C120" s="32"/>
      <c r="D120" s="32"/>
    </row>
    <row r="121" spans="1:4" ht="20.25" x14ac:dyDescent="0.25">
      <c r="A121" s="101"/>
      <c r="B121" s="23"/>
      <c r="C121" s="32"/>
      <c r="D121" s="32"/>
    </row>
    <row r="122" spans="1:4" ht="20.25" x14ac:dyDescent="0.25">
      <c r="A122" s="101"/>
      <c r="B122" s="23"/>
      <c r="C122" s="32"/>
      <c r="D122" s="32"/>
    </row>
    <row r="123" spans="1:4" ht="20.25" x14ac:dyDescent="0.25">
      <c r="A123" s="101"/>
      <c r="B123" s="23"/>
      <c r="C123" s="32"/>
      <c r="D123" s="32"/>
    </row>
    <row r="124" spans="1:4" ht="20.25" x14ac:dyDescent="0.25">
      <c r="A124" s="101"/>
      <c r="B124" s="23"/>
      <c r="C124" s="32"/>
      <c r="D124" s="32"/>
    </row>
    <row r="125" spans="1:4" ht="20.25" x14ac:dyDescent="0.25">
      <c r="A125" s="101"/>
      <c r="B125" s="23"/>
      <c r="C125" s="32"/>
      <c r="D125" s="32"/>
    </row>
    <row r="126" spans="1:4" ht="20.25" x14ac:dyDescent="0.25">
      <c r="A126" s="101"/>
      <c r="B126" s="23"/>
      <c r="C126" s="32"/>
      <c r="D126" s="32"/>
    </row>
    <row r="127" spans="1:4" ht="20.25" x14ac:dyDescent="0.25">
      <c r="A127" s="101"/>
      <c r="B127" s="23"/>
      <c r="C127" s="32"/>
      <c r="D127" s="32"/>
    </row>
    <row r="128" spans="1:4" ht="20.25" x14ac:dyDescent="0.25">
      <c r="A128" s="101"/>
      <c r="B128" s="23"/>
      <c r="C128" s="32"/>
      <c r="D128" s="32"/>
    </row>
    <row r="129" spans="1:4" ht="20.25" x14ac:dyDescent="0.25">
      <c r="A129" s="101"/>
      <c r="B129" s="23"/>
      <c r="C129" s="32"/>
      <c r="D129" s="32"/>
    </row>
    <row r="130" spans="1:4" ht="20.25" x14ac:dyDescent="0.25">
      <c r="A130" s="101"/>
      <c r="B130" s="23"/>
      <c r="C130" s="32"/>
      <c r="D130" s="32"/>
    </row>
    <row r="131" spans="1:4" ht="20.25" x14ac:dyDescent="0.25">
      <c r="A131" s="101"/>
      <c r="B131" s="23"/>
      <c r="C131" s="32"/>
      <c r="D131" s="32"/>
    </row>
    <row r="132" spans="1:4" ht="20.25" x14ac:dyDescent="0.25">
      <c r="A132" s="101"/>
      <c r="B132" s="23"/>
      <c r="C132" s="32"/>
      <c r="D132" s="32"/>
    </row>
    <row r="133" spans="1:4" ht="20.25" x14ac:dyDescent="0.25">
      <c r="A133" s="101"/>
      <c r="B133" s="23"/>
      <c r="C133" s="32"/>
      <c r="D133" s="32"/>
    </row>
    <row r="134" spans="1:4" ht="20.25" x14ac:dyDescent="0.25">
      <c r="A134" s="101"/>
      <c r="B134" s="23"/>
      <c r="C134" s="32"/>
      <c r="D134" s="32"/>
    </row>
    <row r="135" spans="1:4" ht="20.25" x14ac:dyDescent="0.25">
      <c r="A135" s="101"/>
      <c r="B135" s="23"/>
      <c r="C135" s="32"/>
      <c r="D135" s="32"/>
    </row>
    <row r="136" spans="1:4" ht="20.25" x14ac:dyDescent="0.25">
      <c r="A136" s="101"/>
      <c r="B136" s="23"/>
      <c r="C136" s="32"/>
      <c r="D136" s="32"/>
    </row>
    <row r="137" spans="1:4" ht="20.25" x14ac:dyDescent="0.25">
      <c r="A137" s="101"/>
      <c r="B137" s="23"/>
      <c r="C137" s="32"/>
      <c r="D137" s="32"/>
    </row>
    <row r="138" spans="1:4" ht="20.25" x14ac:dyDescent="0.25">
      <c r="A138" s="101"/>
      <c r="B138" s="23"/>
      <c r="C138" s="32"/>
      <c r="D138" s="32"/>
    </row>
    <row r="139" spans="1:4" ht="20.25" x14ac:dyDescent="0.25">
      <c r="A139" s="101"/>
      <c r="B139" s="23"/>
      <c r="C139" s="32"/>
      <c r="D139" s="32"/>
    </row>
    <row r="140" spans="1:4" ht="20.25" x14ac:dyDescent="0.25">
      <c r="A140" s="101"/>
      <c r="B140" s="23"/>
      <c r="C140" s="32"/>
      <c r="D140" s="32"/>
    </row>
    <row r="141" spans="1:4" ht="20.25" x14ac:dyDescent="0.25">
      <c r="A141" s="101"/>
      <c r="B141" s="23"/>
      <c r="C141" s="32"/>
      <c r="D141" s="32"/>
    </row>
    <row r="142" spans="1:4" ht="20.25" x14ac:dyDescent="0.25">
      <c r="A142" s="101"/>
      <c r="B142" s="23"/>
      <c r="C142" s="32"/>
      <c r="D142" s="32"/>
    </row>
    <row r="143" spans="1:4" ht="20.25" x14ac:dyDescent="0.25">
      <c r="A143" s="101"/>
      <c r="B143" s="23"/>
      <c r="C143" s="32"/>
      <c r="D143" s="32"/>
    </row>
    <row r="144" spans="1:4" ht="20.25" x14ac:dyDescent="0.25">
      <c r="A144" s="101"/>
      <c r="B144" s="23"/>
      <c r="C144" s="32"/>
      <c r="D144" s="32"/>
    </row>
    <row r="145" spans="1:4" ht="20.25" x14ac:dyDescent="0.25">
      <c r="A145" s="101"/>
      <c r="B145" s="23"/>
      <c r="C145" s="32"/>
      <c r="D145" s="32"/>
    </row>
    <row r="146" spans="1:4" ht="20.25" x14ac:dyDescent="0.25">
      <c r="A146" s="101"/>
      <c r="B146" s="23"/>
      <c r="C146" s="32"/>
      <c r="D146" s="32"/>
    </row>
    <row r="147" spans="1:4" ht="20.25" x14ac:dyDescent="0.25">
      <c r="A147" s="101"/>
      <c r="B147" s="23"/>
      <c r="C147" s="32"/>
      <c r="D147" s="32"/>
    </row>
    <row r="148" spans="1:4" ht="20.25" x14ac:dyDescent="0.25">
      <c r="A148" s="101"/>
      <c r="B148" s="23"/>
      <c r="C148" s="32"/>
      <c r="D148" s="32"/>
    </row>
    <row r="149" spans="1:4" ht="20.25" x14ac:dyDescent="0.25">
      <c r="A149" s="101"/>
      <c r="B149" s="23"/>
      <c r="C149" s="32"/>
      <c r="D149" s="32"/>
    </row>
    <row r="150" spans="1:4" ht="20.25" x14ac:dyDescent="0.25">
      <c r="A150" s="101"/>
      <c r="B150" s="23"/>
      <c r="C150" s="32"/>
      <c r="D150" s="32"/>
    </row>
    <row r="151" spans="1:4" ht="20.25" x14ac:dyDescent="0.25">
      <c r="A151" s="101"/>
      <c r="B151" s="23"/>
      <c r="C151" s="32"/>
      <c r="D151" s="32"/>
    </row>
    <row r="152" spans="1:4" ht="20.25" x14ac:dyDescent="0.25">
      <c r="A152" s="101"/>
      <c r="B152" s="23"/>
      <c r="C152" s="32"/>
      <c r="D152" s="32"/>
    </row>
    <row r="153" spans="1:4" ht="20.25" x14ac:dyDescent="0.25">
      <c r="A153" s="101"/>
      <c r="B153" s="23"/>
      <c r="C153" s="32"/>
      <c r="D153" s="32"/>
    </row>
    <row r="154" spans="1:4" ht="20.25" x14ac:dyDescent="0.25">
      <c r="A154" s="101"/>
      <c r="B154" s="23"/>
      <c r="C154" s="32"/>
      <c r="D154" s="32"/>
    </row>
    <row r="155" spans="1:4" ht="20.25" x14ac:dyDescent="0.25">
      <c r="A155" s="101"/>
      <c r="B155" s="23"/>
      <c r="C155" s="32"/>
      <c r="D155" s="32"/>
    </row>
    <row r="156" spans="1:4" ht="20.25" x14ac:dyDescent="0.25">
      <c r="A156" s="101"/>
      <c r="B156" s="23"/>
      <c r="C156" s="32"/>
      <c r="D156" s="32"/>
    </row>
    <row r="157" spans="1:4" ht="20.25" x14ac:dyDescent="0.25">
      <c r="A157" s="101"/>
      <c r="B157" s="23"/>
      <c r="C157" s="32"/>
      <c r="D157" s="32"/>
    </row>
    <row r="158" spans="1:4" ht="20.25" x14ac:dyDescent="0.25">
      <c r="A158" s="101"/>
      <c r="B158" s="23"/>
      <c r="C158" s="32"/>
      <c r="D158" s="32"/>
    </row>
    <row r="159" spans="1:4" ht="20.25" x14ac:dyDescent="0.25">
      <c r="A159" s="101"/>
      <c r="B159" s="23"/>
      <c r="C159" s="32"/>
      <c r="D159" s="32"/>
    </row>
    <row r="160" spans="1:4" ht="20.25" x14ac:dyDescent="0.25">
      <c r="A160" s="101"/>
      <c r="B160" s="23"/>
      <c r="C160" s="32"/>
      <c r="D160" s="32"/>
    </row>
    <row r="161" spans="1:4" ht="20.25" x14ac:dyDescent="0.25">
      <c r="A161" s="101"/>
      <c r="B161" s="23"/>
      <c r="C161" s="32"/>
      <c r="D161" s="32"/>
    </row>
    <row r="162" spans="1:4" ht="20.25" x14ac:dyDescent="0.25">
      <c r="A162" s="101"/>
      <c r="B162" s="23"/>
      <c r="C162" s="32"/>
      <c r="D162" s="32"/>
    </row>
    <row r="163" spans="1:4" ht="20.25" x14ac:dyDescent="0.25">
      <c r="A163" s="101"/>
      <c r="B163" s="23"/>
      <c r="C163" s="32"/>
      <c r="D163" s="32"/>
    </row>
    <row r="164" spans="1:4" ht="20.25" x14ac:dyDescent="0.25">
      <c r="A164" s="101"/>
      <c r="B164" s="23"/>
      <c r="C164" s="32"/>
      <c r="D164" s="32"/>
    </row>
    <row r="165" spans="1:4" ht="20.25" x14ac:dyDescent="0.25">
      <c r="A165" s="101"/>
      <c r="B165" s="23"/>
      <c r="C165" s="32"/>
      <c r="D165" s="32"/>
    </row>
    <row r="166" spans="1:4" ht="20.25" x14ac:dyDescent="0.25">
      <c r="A166" s="101"/>
      <c r="B166" s="23"/>
      <c r="C166" s="32"/>
      <c r="D166" s="32"/>
    </row>
    <row r="167" spans="1:4" ht="20.25" x14ac:dyDescent="0.25">
      <c r="A167" s="101"/>
      <c r="B167" s="23"/>
      <c r="C167" s="32"/>
      <c r="D167" s="32"/>
    </row>
    <row r="168" spans="1:4" ht="20.25" x14ac:dyDescent="0.25">
      <c r="A168" s="101"/>
      <c r="B168" s="23"/>
      <c r="C168" s="32"/>
      <c r="D168" s="32"/>
    </row>
    <row r="169" spans="1:4" ht="20.25" x14ac:dyDescent="0.25">
      <c r="A169" s="101"/>
      <c r="B169" s="23"/>
      <c r="C169" s="32"/>
      <c r="D169" s="32"/>
    </row>
    <row r="170" spans="1:4" ht="20.25" x14ac:dyDescent="0.25">
      <c r="A170" s="101"/>
      <c r="B170" s="23"/>
      <c r="C170" s="32"/>
      <c r="D170" s="32"/>
    </row>
    <row r="171" spans="1:4" ht="20.25" x14ac:dyDescent="0.25">
      <c r="A171" s="101"/>
      <c r="B171" s="23"/>
      <c r="C171" s="32"/>
      <c r="D171" s="32"/>
    </row>
    <row r="172" spans="1:4" ht="20.25" x14ac:dyDescent="0.25">
      <c r="A172" s="101"/>
      <c r="B172" s="23"/>
      <c r="C172" s="32"/>
      <c r="D172" s="32"/>
    </row>
    <row r="173" spans="1:4" ht="20.25" x14ac:dyDescent="0.25">
      <c r="A173" s="101"/>
      <c r="B173" s="23"/>
      <c r="C173" s="32"/>
      <c r="D173" s="32"/>
    </row>
    <row r="174" spans="1:4" ht="20.25" x14ac:dyDescent="0.25">
      <c r="A174" s="101"/>
      <c r="B174" s="23"/>
      <c r="C174" s="32"/>
      <c r="D174" s="32"/>
    </row>
    <row r="175" spans="1:4" ht="20.25" x14ac:dyDescent="0.25">
      <c r="A175" s="101"/>
      <c r="B175" s="23"/>
      <c r="C175" s="32"/>
      <c r="D175" s="32"/>
    </row>
    <row r="176" spans="1:4" ht="20.25" x14ac:dyDescent="0.25">
      <c r="A176" s="101"/>
      <c r="B176" s="23"/>
      <c r="C176" s="32"/>
      <c r="D176" s="32"/>
    </row>
    <row r="177" spans="1:4" ht="20.25" x14ac:dyDescent="0.25">
      <c r="A177" s="101"/>
      <c r="B177" s="23"/>
      <c r="C177" s="32"/>
      <c r="D177" s="32"/>
    </row>
    <row r="178" spans="1:4" ht="20.25" x14ac:dyDescent="0.25">
      <c r="A178" s="101"/>
      <c r="B178" s="23"/>
      <c r="C178" s="32"/>
      <c r="D178" s="32"/>
    </row>
    <row r="179" spans="1:4" ht="20.25" x14ac:dyDescent="0.25">
      <c r="A179" s="101"/>
      <c r="B179" s="23"/>
      <c r="C179" s="32"/>
      <c r="D179" s="32"/>
    </row>
    <row r="180" spans="1:4" ht="20.25" x14ac:dyDescent="0.25">
      <c r="A180" s="101"/>
      <c r="B180" s="23"/>
      <c r="C180" s="32"/>
      <c r="D180" s="32"/>
    </row>
    <row r="181" spans="1:4" ht="20.25" x14ac:dyDescent="0.25">
      <c r="A181" s="101"/>
      <c r="B181" s="23"/>
      <c r="C181" s="32"/>
      <c r="D181" s="32"/>
    </row>
    <row r="182" spans="1:4" ht="20.25" x14ac:dyDescent="0.25">
      <c r="A182" s="101"/>
      <c r="B182" s="23"/>
      <c r="C182" s="32"/>
      <c r="D182" s="32"/>
    </row>
    <row r="183" spans="1:4" ht="20.25" x14ac:dyDescent="0.25">
      <c r="A183" s="101"/>
      <c r="B183" s="23"/>
      <c r="C183" s="32"/>
      <c r="D183" s="32"/>
    </row>
    <row r="184" spans="1:4" ht="20.25" x14ac:dyDescent="0.25">
      <c r="A184" s="101"/>
      <c r="B184" s="23"/>
      <c r="C184" s="32"/>
      <c r="D184" s="32"/>
    </row>
    <row r="185" spans="1:4" ht="20.25" x14ac:dyDescent="0.25">
      <c r="A185" s="101"/>
      <c r="B185" s="23"/>
      <c r="C185" s="32"/>
      <c r="D185" s="32"/>
    </row>
    <row r="186" spans="1:4" ht="20.25" x14ac:dyDescent="0.25">
      <c r="A186" s="101"/>
      <c r="B186" s="23"/>
      <c r="C186" s="32"/>
      <c r="D186" s="32"/>
    </row>
    <row r="187" spans="1:4" ht="20.25" x14ac:dyDescent="0.25">
      <c r="A187" s="101"/>
      <c r="B187" s="23"/>
      <c r="C187" s="32"/>
      <c r="D187" s="32"/>
    </row>
    <row r="188" spans="1:4" ht="20.25" x14ac:dyDescent="0.25">
      <c r="A188" s="101"/>
      <c r="B188" s="23"/>
      <c r="C188" s="32"/>
      <c r="D188" s="32"/>
    </row>
    <row r="189" spans="1:4" ht="20.25" x14ac:dyDescent="0.25">
      <c r="A189" s="101"/>
      <c r="B189" s="23"/>
      <c r="C189" s="32"/>
      <c r="D189" s="32"/>
    </row>
    <row r="190" spans="1:4" ht="20.25" x14ac:dyDescent="0.25">
      <c r="A190" s="101"/>
      <c r="B190" s="23"/>
      <c r="C190" s="32"/>
      <c r="D190" s="32"/>
    </row>
    <row r="191" spans="1:4" ht="20.25" x14ac:dyDescent="0.25">
      <c r="A191" s="101"/>
      <c r="B191" s="23"/>
      <c r="C191" s="32"/>
      <c r="D191" s="32"/>
    </row>
    <row r="192" spans="1:4" ht="20.25" x14ac:dyDescent="0.25">
      <c r="A192" s="101"/>
      <c r="B192" s="23"/>
      <c r="C192" s="32"/>
      <c r="D192" s="32"/>
    </row>
    <row r="193" spans="1:4" ht="20.25" x14ac:dyDescent="0.25">
      <c r="A193" s="101"/>
      <c r="B193" s="23"/>
      <c r="C193" s="32"/>
      <c r="D193" s="32"/>
    </row>
    <row r="194" spans="1:4" ht="20.25" x14ac:dyDescent="0.25">
      <c r="A194" s="101"/>
      <c r="B194" s="23"/>
      <c r="C194" s="32"/>
      <c r="D194" s="32"/>
    </row>
    <row r="195" spans="1:4" ht="20.25" x14ac:dyDescent="0.25">
      <c r="A195" s="101"/>
      <c r="B195" s="23"/>
      <c r="C195" s="32"/>
      <c r="D195" s="32"/>
    </row>
    <row r="196" spans="1:4" ht="20.25" x14ac:dyDescent="0.25">
      <c r="A196" s="101"/>
      <c r="B196" s="23"/>
      <c r="C196" s="32"/>
      <c r="D196" s="32"/>
    </row>
    <row r="197" spans="1:4" ht="20.25" x14ac:dyDescent="0.25">
      <c r="A197" s="101"/>
      <c r="B197" s="23"/>
      <c r="C197" s="32"/>
      <c r="D197" s="32"/>
    </row>
    <row r="198" spans="1:4" ht="20.25" x14ac:dyDescent="0.25">
      <c r="A198" s="101"/>
      <c r="B198" s="23"/>
      <c r="C198" s="32"/>
      <c r="D198" s="32"/>
    </row>
    <row r="199" spans="1:4" ht="20.25" x14ac:dyDescent="0.25">
      <c r="A199" s="101"/>
      <c r="B199" s="23"/>
      <c r="C199" s="32"/>
      <c r="D199" s="32"/>
    </row>
    <row r="200" spans="1:4" ht="20.25" x14ac:dyDescent="0.25">
      <c r="A200" s="101"/>
      <c r="B200" s="23"/>
      <c r="C200" s="32"/>
      <c r="D200" s="32"/>
    </row>
    <row r="201" spans="1:4" ht="20.25" x14ac:dyDescent="0.25">
      <c r="A201" s="101"/>
      <c r="B201" s="23"/>
      <c r="C201" s="32"/>
      <c r="D201" s="32"/>
    </row>
    <row r="202" spans="1:4" ht="20.25" x14ac:dyDescent="0.25">
      <c r="A202" s="101"/>
      <c r="B202" s="23"/>
      <c r="C202" s="32"/>
      <c r="D202" s="32"/>
    </row>
    <row r="203" spans="1:4" ht="20.25" x14ac:dyDescent="0.25">
      <c r="A203" s="101"/>
      <c r="B203" s="23"/>
      <c r="C203" s="32"/>
      <c r="D203" s="32"/>
    </row>
    <row r="204" spans="1:4" ht="20.25" x14ac:dyDescent="0.25">
      <c r="A204" s="101"/>
      <c r="B204" s="23"/>
      <c r="C204" s="32"/>
      <c r="D204" s="32"/>
    </row>
    <row r="205" spans="1:4" ht="20.25" x14ac:dyDescent="0.25">
      <c r="A205" s="101"/>
      <c r="B205" s="23"/>
      <c r="C205" s="32"/>
      <c r="D205" s="32"/>
    </row>
    <row r="206" spans="1:4" ht="20.25" x14ac:dyDescent="0.25">
      <c r="A206" s="101"/>
      <c r="B206" s="23"/>
      <c r="C206" s="32"/>
      <c r="D206" s="32"/>
    </row>
    <row r="207" spans="1:4" ht="20.25" x14ac:dyDescent="0.25">
      <c r="A207" s="101"/>
      <c r="B207" s="23"/>
      <c r="C207" s="32"/>
      <c r="D207" s="32"/>
    </row>
    <row r="208" spans="1:4" x14ac:dyDescent="0.25">
      <c r="A208" s="81"/>
      <c r="B208" s="23"/>
      <c r="C208" s="23"/>
      <c r="D208" s="23"/>
    </row>
    <row r="209" spans="1:8" ht="20.25" x14ac:dyDescent="0.25">
      <c r="A209" s="81"/>
      <c r="B209" s="28" t="s">
        <v>86</v>
      </c>
      <c r="C209" s="28" t="s">
        <v>141</v>
      </c>
      <c r="D209" s="31" t="s">
        <v>86</v>
      </c>
      <c r="E209" s="31" t="s">
        <v>141</v>
      </c>
    </row>
    <row r="210" spans="1:8" ht="21" x14ac:dyDescent="0.35">
      <c r="A210" s="81"/>
      <c r="B210" s="29" t="s">
        <v>88</v>
      </c>
      <c r="C210" s="29" t="s">
        <v>56</v>
      </c>
      <c r="D210" t="s">
        <v>88</v>
      </c>
      <c r="F210" t="str">
        <f>IF(NOT(ISBLANK(D210)),D210,IF(NOT(ISBLANK(E210)),"     "&amp;E210,FALSE))</f>
        <v>Afectación Económica o presupuestal</v>
      </c>
      <c r="G210" t="s">
        <v>88</v>
      </c>
      <c r="H210" t="str">
        <f>IF(NOT(ISERROR(MATCH(G210,_xlfn.ANCHORARRAY(B221),0))),F223&amp;"Por favor no seleccionar los criterios de impacto",G210)</f>
        <v>❌Por favor no seleccionar los criterios de impacto</v>
      </c>
    </row>
    <row r="211" spans="1:8" ht="21" x14ac:dyDescent="0.35">
      <c r="A211" s="81"/>
      <c r="B211" s="29" t="s">
        <v>88</v>
      </c>
      <c r="C211" s="29" t="s">
        <v>91</v>
      </c>
      <c r="E211" t="s">
        <v>56</v>
      </c>
      <c r="F211" t="str">
        <f t="shared" ref="F211:F221" si="0">IF(NOT(ISBLANK(D211)),D211,IF(NOT(ISBLANK(E211)),"     "&amp;E211,FALSE))</f>
        <v xml:space="preserve">     Afectación menor a 10 SMLMV .</v>
      </c>
    </row>
    <row r="212" spans="1:8" ht="21" x14ac:dyDescent="0.35">
      <c r="A212" s="81"/>
      <c r="B212" s="29" t="s">
        <v>88</v>
      </c>
      <c r="C212" s="29" t="s">
        <v>92</v>
      </c>
      <c r="E212" t="s">
        <v>91</v>
      </c>
      <c r="F212" t="str">
        <f t="shared" si="0"/>
        <v xml:space="preserve">     Entre 10 y 50 SMLMV </v>
      </c>
    </row>
    <row r="213" spans="1:8" ht="21" x14ac:dyDescent="0.35">
      <c r="A213" s="81"/>
      <c r="B213" s="29" t="s">
        <v>88</v>
      </c>
      <c r="C213" s="29" t="s">
        <v>93</v>
      </c>
      <c r="E213" t="s">
        <v>92</v>
      </c>
      <c r="F213" t="str">
        <f t="shared" si="0"/>
        <v xml:space="preserve">     Entre 50 y 100 SMLMV </v>
      </c>
    </row>
    <row r="214" spans="1:8" ht="21" x14ac:dyDescent="0.35">
      <c r="A214" s="81"/>
      <c r="B214" s="29" t="s">
        <v>88</v>
      </c>
      <c r="C214" s="29" t="s">
        <v>94</v>
      </c>
      <c r="E214" t="s">
        <v>93</v>
      </c>
      <c r="F214" t="str">
        <f t="shared" si="0"/>
        <v xml:space="preserve">     Entre 100 y 500 SMLMV </v>
      </c>
    </row>
    <row r="215" spans="1:8" ht="21" x14ac:dyDescent="0.35">
      <c r="A215" s="81"/>
      <c r="B215" s="29" t="s">
        <v>55</v>
      </c>
      <c r="C215" s="29" t="s">
        <v>95</v>
      </c>
      <c r="E215" t="s">
        <v>94</v>
      </c>
      <c r="F215" t="str">
        <f t="shared" si="0"/>
        <v xml:space="preserve">     Mayor a 500 SMLMV </v>
      </c>
    </row>
    <row r="216" spans="1:8" ht="21" x14ac:dyDescent="0.35">
      <c r="A216" s="81"/>
      <c r="B216" s="29" t="s">
        <v>55</v>
      </c>
      <c r="C216" s="29" t="s">
        <v>96</v>
      </c>
      <c r="D216" t="s">
        <v>55</v>
      </c>
      <c r="F216" t="str">
        <f t="shared" si="0"/>
        <v>Pérdida Reputacional</v>
      </c>
    </row>
    <row r="217" spans="1:8" ht="21" x14ac:dyDescent="0.35">
      <c r="A217" s="81"/>
      <c r="B217" s="29" t="s">
        <v>55</v>
      </c>
      <c r="C217" s="29" t="s">
        <v>98</v>
      </c>
      <c r="E217" t="s">
        <v>95</v>
      </c>
      <c r="F217" t="str">
        <f t="shared" si="0"/>
        <v xml:space="preserve">     El riesgo afecta la imagen de alguna área de la organización</v>
      </c>
    </row>
    <row r="218" spans="1:8" ht="21" x14ac:dyDescent="0.35">
      <c r="A218" s="81"/>
      <c r="B218" s="29" t="s">
        <v>55</v>
      </c>
      <c r="C218" s="29" t="s">
        <v>97</v>
      </c>
      <c r="E218" t="s">
        <v>96</v>
      </c>
      <c r="F218" t="str">
        <f t="shared" si="0"/>
        <v xml:space="preserve">     El riesgo afecta la imagen de la entidad internamente, de conocimiento general, nivel interno, de junta dircetiva y accionistas y/o de provedores</v>
      </c>
    </row>
    <row r="219" spans="1:8" ht="21" x14ac:dyDescent="0.35">
      <c r="A219" s="81"/>
      <c r="B219" s="29" t="s">
        <v>55</v>
      </c>
      <c r="C219" s="29" t="s">
        <v>116</v>
      </c>
      <c r="E219" t="s">
        <v>98</v>
      </c>
      <c r="F219" t="str">
        <f t="shared" si="0"/>
        <v xml:space="preserve">     El riesgo afecta la imagen de la entidad con algunos usuarios de relevancia frente al logro de los objetivos</v>
      </c>
    </row>
    <row r="220" spans="1:8" x14ac:dyDescent="0.25">
      <c r="A220" s="81"/>
      <c r="B220" s="30"/>
      <c r="C220" s="30"/>
      <c r="E220" t="s">
        <v>97</v>
      </c>
      <c r="F220" t="str">
        <f t="shared" si="0"/>
        <v xml:space="preserve">     El riesgo afecta la imagen de de la entidad con efecto publicitario sostenido a nivel de sector administrativo, nivel departamental o municipal</v>
      </c>
    </row>
    <row r="221" spans="1:8" x14ac:dyDescent="0.25">
      <c r="A221" s="81"/>
      <c r="B221" s="30" t="str" cm="1">
        <f t="array" ref="B221:B223">_xlfn.UNIQUE(Tabla1[[#All],[Criterios]])</f>
        <v>Criterios</v>
      </c>
      <c r="C221" s="30"/>
      <c r="E221" t="s">
        <v>116</v>
      </c>
      <c r="F221" t="str">
        <f t="shared" si="0"/>
        <v xml:space="preserve">     El riesgo afecta la imagen de la entidad a nivel nacional, con efecto publicitarios sostenible a nivel país</v>
      </c>
    </row>
    <row r="222" spans="1:8" x14ac:dyDescent="0.25">
      <c r="A222" s="81"/>
      <c r="B222" s="30" t="str">
        <v>Afectación Económica o presupuestal</v>
      </c>
      <c r="C222" s="30"/>
    </row>
    <row r="223" spans="1:8" x14ac:dyDescent="0.25">
      <c r="B223" s="30" t="str">
        <v>Pérdida Reputacional</v>
      </c>
      <c r="C223" s="30"/>
      <c r="F223" s="33" t="s">
        <v>143</v>
      </c>
    </row>
    <row r="224" spans="1:8" x14ac:dyDescent="0.25">
      <c r="B224" s="22"/>
      <c r="C224" s="22"/>
      <c r="F224" s="33" t="s">
        <v>144</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heetViews>
  <sheetFormatPr baseColWidth="10" defaultColWidth="14.28515625" defaultRowHeight="12.75" x14ac:dyDescent="0.2"/>
  <cols>
    <col min="1" max="2" width="14.28515625" style="86"/>
    <col min="3" max="3" width="17" style="86" customWidth="1"/>
    <col min="4" max="4" width="14.28515625" style="86"/>
    <col min="5" max="5" width="46" style="86" customWidth="1"/>
    <col min="6" max="16384" width="14.28515625" style="86"/>
  </cols>
  <sheetData>
    <row r="1" spans="2:6" ht="24" customHeight="1" thickBot="1" x14ac:dyDescent="0.25">
      <c r="B1" s="426" t="s">
        <v>76</v>
      </c>
      <c r="C1" s="427"/>
      <c r="D1" s="427"/>
      <c r="E1" s="427"/>
      <c r="F1" s="428"/>
    </row>
    <row r="2" spans="2:6" ht="16.5" thickBot="1" x14ac:dyDescent="0.3">
      <c r="B2" s="87"/>
      <c r="C2" s="87"/>
      <c r="D2" s="87"/>
      <c r="E2" s="87"/>
      <c r="F2" s="87"/>
    </row>
    <row r="3" spans="2:6" ht="16.5" thickBot="1" x14ac:dyDescent="0.25">
      <c r="B3" s="430" t="s">
        <v>62</v>
      </c>
      <c r="C3" s="431"/>
      <c r="D3" s="431"/>
      <c r="E3" s="99" t="s">
        <v>63</v>
      </c>
      <c r="F3" s="100" t="s">
        <v>64</v>
      </c>
    </row>
    <row r="4" spans="2:6" ht="31.5" x14ac:dyDescent="0.2">
      <c r="B4" s="432" t="s">
        <v>65</v>
      </c>
      <c r="C4" s="434" t="s">
        <v>13</v>
      </c>
      <c r="D4" s="88" t="s">
        <v>14</v>
      </c>
      <c r="E4" s="89" t="s">
        <v>66</v>
      </c>
      <c r="F4" s="90">
        <v>0.25</v>
      </c>
    </row>
    <row r="5" spans="2:6" ht="47.25" x14ac:dyDescent="0.2">
      <c r="B5" s="433"/>
      <c r="C5" s="435"/>
      <c r="D5" s="91" t="s">
        <v>15</v>
      </c>
      <c r="E5" s="92" t="s">
        <v>67</v>
      </c>
      <c r="F5" s="93">
        <v>0.15</v>
      </c>
    </row>
    <row r="6" spans="2:6" ht="47.25" x14ac:dyDescent="0.2">
      <c r="B6" s="433"/>
      <c r="C6" s="435"/>
      <c r="D6" s="91" t="s">
        <v>16</v>
      </c>
      <c r="E6" s="92" t="s">
        <v>68</v>
      </c>
      <c r="F6" s="93">
        <v>0.1</v>
      </c>
    </row>
    <row r="7" spans="2:6" ht="63" x14ac:dyDescent="0.2">
      <c r="B7" s="433"/>
      <c r="C7" s="435" t="s">
        <v>17</v>
      </c>
      <c r="D7" s="91" t="s">
        <v>10</v>
      </c>
      <c r="E7" s="92" t="s">
        <v>69</v>
      </c>
      <c r="F7" s="93">
        <v>0.25</v>
      </c>
    </row>
    <row r="8" spans="2:6" ht="31.5" x14ac:dyDescent="0.2">
      <c r="B8" s="433"/>
      <c r="C8" s="435"/>
      <c r="D8" s="91" t="s">
        <v>9</v>
      </c>
      <c r="E8" s="92" t="s">
        <v>70</v>
      </c>
      <c r="F8" s="93">
        <v>0.15</v>
      </c>
    </row>
    <row r="9" spans="2:6" ht="47.25" x14ac:dyDescent="0.2">
      <c r="B9" s="433" t="s">
        <v>158</v>
      </c>
      <c r="C9" s="435" t="s">
        <v>18</v>
      </c>
      <c r="D9" s="91" t="s">
        <v>19</v>
      </c>
      <c r="E9" s="92" t="s">
        <v>71</v>
      </c>
      <c r="F9" s="94" t="s">
        <v>72</v>
      </c>
    </row>
    <row r="10" spans="2:6" ht="63" x14ac:dyDescent="0.2">
      <c r="B10" s="433"/>
      <c r="C10" s="435"/>
      <c r="D10" s="91" t="s">
        <v>20</v>
      </c>
      <c r="E10" s="92" t="s">
        <v>73</v>
      </c>
      <c r="F10" s="94" t="s">
        <v>72</v>
      </c>
    </row>
    <row r="11" spans="2:6" ht="47.25" x14ac:dyDescent="0.2">
      <c r="B11" s="433"/>
      <c r="C11" s="435" t="s">
        <v>21</v>
      </c>
      <c r="D11" s="91" t="s">
        <v>22</v>
      </c>
      <c r="E11" s="92" t="s">
        <v>74</v>
      </c>
      <c r="F11" s="94" t="s">
        <v>72</v>
      </c>
    </row>
    <row r="12" spans="2:6" ht="47.25" x14ac:dyDescent="0.2">
      <c r="B12" s="433"/>
      <c r="C12" s="435"/>
      <c r="D12" s="91" t="s">
        <v>23</v>
      </c>
      <c r="E12" s="92" t="s">
        <v>75</v>
      </c>
      <c r="F12" s="94" t="s">
        <v>72</v>
      </c>
    </row>
    <row r="13" spans="2:6" ht="31.5" x14ac:dyDescent="0.2">
      <c r="B13" s="433"/>
      <c r="C13" s="435" t="s">
        <v>24</v>
      </c>
      <c r="D13" s="91" t="s">
        <v>117</v>
      </c>
      <c r="E13" s="92" t="s">
        <v>120</v>
      </c>
      <c r="F13" s="94" t="s">
        <v>72</v>
      </c>
    </row>
    <row r="14" spans="2:6" ht="32.25" thickBot="1" x14ac:dyDescent="0.25">
      <c r="B14" s="436"/>
      <c r="C14" s="437"/>
      <c r="D14" s="95" t="s">
        <v>118</v>
      </c>
      <c r="E14" s="96" t="s">
        <v>119</v>
      </c>
      <c r="F14" s="97" t="s">
        <v>72</v>
      </c>
    </row>
    <row r="15" spans="2:6" ht="49.5" customHeight="1" x14ac:dyDescent="0.2">
      <c r="B15" s="429" t="s">
        <v>155</v>
      </c>
      <c r="C15" s="429"/>
      <c r="D15" s="429"/>
      <c r="E15" s="429"/>
      <c r="F15" s="429"/>
    </row>
    <row r="16" spans="2:6" ht="27" customHeight="1" x14ac:dyDescent="0.25">
      <c r="B16" s="9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C17" sqref="C17"/>
    </sheetView>
  </sheetViews>
  <sheetFormatPr baseColWidth="10" defaultRowHeight="15" x14ac:dyDescent="0.25"/>
  <sheetData>
    <row r="2" spans="2:5" x14ac:dyDescent="0.25">
      <c r="B2" t="s">
        <v>31</v>
      </c>
      <c r="E2" t="s">
        <v>129</v>
      </c>
    </row>
    <row r="3" spans="2:5" x14ac:dyDescent="0.25">
      <c r="B3" t="s">
        <v>32</v>
      </c>
      <c r="E3" t="s">
        <v>128</v>
      </c>
    </row>
    <row r="4" spans="2:5" x14ac:dyDescent="0.25">
      <c r="B4" t="s">
        <v>133</v>
      </c>
      <c r="E4" t="s">
        <v>130</v>
      </c>
    </row>
    <row r="5" spans="2:5" x14ac:dyDescent="0.25">
      <c r="B5" t="s">
        <v>132</v>
      </c>
    </row>
    <row r="8" spans="2:5" x14ac:dyDescent="0.25">
      <c r="B8" t="s">
        <v>84</v>
      </c>
    </row>
    <row r="9" spans="2:5" x14ac:dyDescent="0.25">
      <c r="B9" t="s">
        <v>40</v>
      </c>
    </row>
    <row r="10" spans="2:5" x14ac:dyDescent="0.25">
      <c r="B10" t="s">
        <v>41</v>
      </c>
    </row>
    <row r="13" spans="2:5" x14ac:dyDescent="0.25">
      <c r="B13" t="s">
        <v>126</v>
      </c>
    </row>
    <row r="14" spans="2:5" x14ac:dyDescent="0.25">
      <c r="B14" t="s">
        <v>121</v>
      </c>
    </row>
    <row r="15" spans="2:5" x14ac:dyDescent="0.25">
      <c r="B15" t="s">
        <v>124</v>
      </c>
    </row>
    <row r="16" spans="2:5" x14ac:dyDescent="0.25">
      <c r="B16" t="s">
        <v>122</v>
      </c>
    </row>
    <row r="17" spans="2:2" x14ac:dyDescent="0.25">
      <c r="B17" t="s">
        <v>123</v>
      </c>
    </row>
    <row r="18" spans="2:2" x14ac:dyDescent="0.25">
      <c r="B18" t="s">
        <v>125</v>
      </c>
    </row>
    <row r="19" spans="2:2" x14ac:dyDescent="0.25">
      <c r="B19" t="s">
        <v>240</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Paula Andrea Alvarez Velez</cp:lastModifiedBy>
  <cp:lastPrinted>2023-01-31T21:26:17Z</cp:lastPrinted>
  <dcterms:created xsi:type="dcterms:W3CDTF">2020-03-24T23:12:47Z</dcterms:created>
  <dcterms:modified xsi:type="dcterms:W3CDTF">2023-01-31T21:44:13Z</dcterms:modified>
</cp:coreProperties>
</file>