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al\OneDrive\Escritorio\CO2Cero\EMPRESAS ISO\UCEVA\"/>
    </mc:Choice>
  </mc:AlternateContent>
  <xr:revisionPtr revIDLastSave="0" documentId="8_{9A7260C4-EA18-4532-A99F-E6DF4279D4F1}" xr6:coauthVersionLast="47" xr6:coauthVersionMax="47" xr10:uidLastSave="{00000000-0000-0000-0000-000000000000}"/>
  <bookViews>
    <workbookView xWindow="-120" yWindow="-120" windowWidth="20730" windowHeight="11040" tabRatio="853" firstSheet="6" activeTab="6" xr2:uid="{E43D45A1-A6FC-4B09-82FA-78591786A616}"/>
  </bookViews>
  <sheets>
    <sheet name="ED_Combustibles" sheetId="1" r:id="rId1"/>
    <sheet name="ED_Extintores y Refrigerantes" sheetId="10" r:id="rId2"/>
    <sheet name="EI_Energía electrica" sheetId="11" r:id="rId3"/>
    <sheet name="Tratamiento Aguas Residuales" sheetId="16" state="hidden" r:id="rId4"/>
    <sheet name="EI_Transporte tercerizado" sheetId="14" r:id="rId5"/>
    <sheet name="EI_Residuos" sheetId="15" r:id="rId6"/>
    <sheet name="Resultados" sheetId="12" r:id="rId7"/>
    <sheet name="FE" sheetId="6" r:id="rId8"/>
    <sheet name="PCG" sheetId="4" r:id="rId9"/>
    <sheet name="Anexo" sheetId="3" r:id="rId10"/>
  </sheets>
  <externalReferences>
    <externalReference r:id="rId11"/>
    <externalReference r:id="rId12"/>
  </externalReferences>
  <definedNames>
    <definedName name="Aerea">FE!$D$86:$D$87</definedName>
    <definedName name="Botadero">FE!$C$109</definedName>
    <definedName name="CG">FE!$I$25:$I$41</definedName>
    <definedName name="Compostaje">FE!$C$122:$C$123</definedName>
    <definedName name="Digestión_anaeróbica">FE!$C$124:$C$125</definedName>
    <definedName name="Incineración">FE!$C$110:$C$121</definedName>
    <definedName name="Maritima">FE!$D$88</definedName>
    <definedName name="Modalidad">FE!$C$87:$C$88</definedName>
    <definedName name="ModTrans">FE!$B$76:$B$77</definedName>
    <definedName name="Propio">FE!$C$77:$C$82</definedName>
    <definedName name="Prueba">FE!$H$83:$H$85</definedName>
    <definedName name="Quema_cielo_abierto">FE!$C$126</definedName>
    <definedName name="Relleno">FE!$B$104</definedName>
    <definedName name="Relleno_sanitario">FE!$C$99:$C$108</definedName>
    <definedName name="Ruta">FE!$C$75:$C$76</definedName>
    <definedName name="Seleccion">'EI_Transporte tercerizado'!$D$11</definedName>
    <definedName name="TAD">FE!$B$131:$B$139</definedName>
    <definedName name="TAI">FE!$F$131:$F$136</definedName>
    <definedName name="Tipo">FE!$B$92:$B$93</definedName>
    <definedName name="Tipoactividad">FE!$B$86:$B$87</definedName>
    <definedName name="Tratamiento">FE!$I$102:$I$107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2" l="1"/>
  <c r="I14" i="12"/>
  <c r="I15" i="12"/>
  <c r="L15" i="12"/>
  <c r="F65" i="14"/>
  <c r="F64" i="14"/>
  <c r="E65" i="14"/>
  <c r="E64" i="14"/>
  <c r="D65" i="14"/>
  <c r="D64" i="14"/>
  <c r="Z13" i="11"/>
  <c r="AA13" i="11" s="1"/>
  <c r="S13" i="11"/>
  <c r="Q13" i="11"/>
  <c r="X11" i="11"/>
  <c r="V11" i="11"/>
  <c r="W11" i="11"/>
  <c r="Y11" i="11"/>
  <c r="U11" i="11"/>
  <c r="T11" i="11"/>
  <c r="S11" i="11"/>
  <c r="R11" i="11"/>
  <c r="Q11" i="11"/>
  <c r="J46" i="14"/>
  <c r="G17" i="12"/>
  <c r="F17" i="12"/>
  <c r="L16" i="12"/>
  <c r="I16" i="12"/>
  <c r="M16" i="12" s="1"/>
  <c r="H17" i="12"/>
  <c r="F16" i="12"/>
  <c r="E16" i="12"/>
  <c r="E17" i="12" s="1"/>
  <c r="D16" i="12"/>
  <c r="I58" i="14"/>
  <c r="AG12" i="15"/>
  <c r="AF12" i="15"/>
  <c r="AE12" i="15"/>
  <c r="AD12" i="15"/>
  <c r="AC12" i="15"/>
  <c r="K47" i="14"/>
  <c r="L47" i="14" s="1"/>
  <c r="K48" i="14"/>
  <c r="L48" i="14" s="1"/>
  <c r="K49" i="14"/>
  <c r="N49" i="14" s="1"/>
  <c r="K50" i="14"/>
  <c r="N50" i="14" s="1"/>
  <c r="M50" i="14"/>
  <c r="K51" i="14"/>
  <c r="L51" i="14" s="1"/>
  <c r="K52" i="14"/>
  <c r="O52" i="14" s="1"/>
  <c r="Q52" i="14" s="1"/>
  <c r="R52" i="14" s="1"/>
  <c r="K53" i="14"/>
  <c r="L53" i="14" s="1"/>
  <c r="K54" i="14"/>
  <c r="L54" i="14" s="1"/>
  <c r="K55" i="14"/>
  <c r="N55" i="14" s="1"/>
  <c r="M55" i="14"/>
  <c r="K56" i="14"/>
  <c r="L56" i="14" s="1"/>
  <c r="N56" i="14"/>
  <c r="K57" i="14"/>
  <c r="M57" i="14" s="1"/>
  <c r="K46" i="14"/>
  <c r="N46" i="14" s="1"/>
  <c r="J47" i="14"/>
  <c r="J48" i="14"/>
  <c r="J49" i="14"/>
  <c r="J50" i="14"/>
  <c r="J51" i="14"/>
  <c r="J52" i="14"/>
  <c r="J53" i="14"/>
  <c r="J54" i="14"/>
  <c r="J55" i="14"/>
  <c r="J56" i="14"/>
  <c r="J57" i="14"/>
  <c r="O53" i="14" l="1"/>
  <c r="Q53" i="14" s="1"/>
  <c r="R53" i="14" s="1"/>
  <c r="N52" i="14"/>
  <c r="L52" i="14"/>
  <c r="M56" i="14"/>
  <c r="M52" i="14"/>
  <c r="O50" i="14"/>
  <c r="Q50" i="14" s="1"/>
  <c r="R50" i="14" s="1"/>
  <c r="O46" i="14"/>
  <c r="Q46" i="14" s="1"/>
  <c r="R46" i="14" s="1"/>
  <c r="L46" i="14"/>
  <c r="L55" i="14"/>
  <c r="O57" i="14"/>
  <c r="Q57" i="14" s="1"/>
  <c r="R57" i="14" s="1"/>
  <c r="O49" i="14"/>
  <c r="Q49" i="14" s="1"/>
  <c r="R49" i="14" s="1"/>
  <c r="O51" i="14"/>
  <c r="Q51" i="14" s="1"/>
  <c r="R51" i="14" s="1"/>
  <c r="M46" i="14"/>
  <c r="N51" i="14"/>
  <c r="M49" i="14"/>
  <c r="O56" i="14"/>
  <c r="Q56" i="14" s="1"/>
  <c r="R56" i="14" s="1"/>
  <c r="O48" i="14"/>
  <c r="Q48" i="14" s="1"/>
  <c r="R48" i="14" s="1"/>
  <c r="M51" i="14"/>
  <c r="L49" i="14"/>
  <c r="O55" i="14"/>
  <c r="Q55" i="14" s="1"/>
  <c r="R55" i="14" s="1"/>
  <c r="O47" i="14"/>
  <c r="Q47" i="14" s="1"/>
  <c r="R47" i="14" s="1"/>
  <c r="O54" i="14"/>
  <c r="Q54" i="14" s="1"/>
  <c r="R54" i="14" s="1"/>
  <c r="G64" i="14"/>
  <c r="E66" i="14"/>
  <c r="Z11" i="11"/>
  <c r="AA11" i="11" s="1"/>
  <c r="J58" i="14"/>
  <c r="L57" i="14"/>
  <c r="L50" i="14"/>
  <c r="N53" i="14"/>
  <c r="N54" i="14"/>
  <c r="M53" i="14"/>
  <c r="M54" i="14"/>
  <c r="N47" i="14"/>
  <c r="N48" i="14"/>
  <c r="M47" i="14"/>
  <c r="M48" i="14"/>
  <c r="N57" i="14"/>
  <c r="L9" i="15"/>
  <c r="Q58" i="14" l="1"/>
  <c r="R58" i="14" s="1"/>
  <c r="AI12" i="15"/>
  <c r="AJ12" i="15" s="1"/>
  <c r="E39" i="12"/>
  <c r="E38" i="12"/>
  <c r="D39" i="12"/>
  <c r="D38" i="12"/>
  <c r="W11" i="10" l="1"/>
  <c r="S17" i="10"/>
  <c r="S16" i="10"/>
  <c r="P19" i="4"/>
  <c r="M19" i="4" s="1"/>
  <c r="P17" i="4"/>
  <c r="M17" i="4" s="1"/>
  <c r="P15" i="4"/>
  <c r="M15" i="4" s="1"/>
  <c r="R9" i="11" l="1"/>
  <c r="Q9" i="11"/>
  <c r="V112" i="1" l="1"/>
  <c r="AM45" i="1"/>
  <c r="AR45" i="1" s="1"/>
  <c r="AE45" i="1"/>
  <c r="AK45" i="1" s="1"/>
  <c r="AD45" i="1"/>
  <c r="AJ45" i="1" s="1"/>
  <c r="AC45" i="1"/>
  <c r="AI45" i="1" s="1"/>
  <c r="AB45" i="1"/>
  <c r="AH45" i="1" s="1"/>
  <c r="AA45" i="1"/>
  <c r="AG45" i="1" s="1"/>
  <c r="Z45" i="1"/>
  <c r="AF45" i="1" s="1"/>
  <c r="AL45" i="1" s="1"/>
  <c r="V45" i="1"/>
  <c r="W45" i="1" s="1"/>
  <c r="U45" i="1"/>
  <c r="AB93" i="1"/>
  <c r="AB94" i="1"/>
  <c r="AB95" i="1"/>
  <c r="AB96" i="1"/>
  <c r="AB101" i="1"/>
  <c r="AB102" i="1"/>
  <c r="AB103" i="1"/>
  <c r="AB104" i="1"/>
  <c r="AB109" i="1"/>
  <c r="AB110" i="1"/>
  <c r="AB111" i="1"/>
  <c r="Z93" i="1"/>
  <c r="Z94" i="1"/>
  <c r="Z95" i="1"/>
  <c r="Z96" i="1"/>
  <c r="Z101" i="1"/>
  <c r="Z102" i="1"/>
  <c r="Z103" i="1"/>
  <c r="Z104" i="1"/>
  <c r="Z109" i="1"/>
  <c r="Z110" i="1"/>
  <c r="Z111" i="1"/>
  <c r="X93" i="1"/>
  <c r="X94" i="1"/>
  <c r="X95" i="1"/>
  <c r="X96" i="1"/>
  <c r="X101" i="1"/>
  <c r="X102" i="1"/>
  <c r="X103" i="1"/>
  <c r="X104" i="1"/>
  <c r="X109" i="1"/>
  <c r="X110" i="1"/>
  <c r="X111" i="1"/>
  <c r="W92" i="1"/>
  <c r="AB92" i="1" s="1"/>
  <c r="W93" i="1"/>
  <c r="W94" i="1"/>
  <c r="W95" i="1"/>
  <c r="W96" i="1"/>
  <c r="AA96" i="1" s="1"/>
  <c r="AC96" i="1" s="1"/>
  <c r="W97" i="1"/>
  <c r="AB97" i="1" s="1"/>
  <c r="W98" i="1"/>
  <c r="W99" i="1"/>
  <c r="Y99" i="1" s="1"/>
  <c r="W100" i="1"/>
  <c r="X100" i="1" s="1"/>
  <c r="W101" i="1"/>
  <c r="W102" i="1"/>
  <c r="W103" i="1"/>
  <c r="W104" i="1"/>
  <c r="Y104" i="1" s="1"/>
  <c r="W105" i="1"/>
  <c r="AB105" i="1" s="1"/>
  <c r="W106" i="1"/>
  <c r="W107" i="1"/>
  <c r="W108" i="1"/>
  <c r="AB108" i="1" s="1"/>
  <c r="W109" i="1"/>
  <c r="W110" i="1"/>
  <c r="W11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T92" i="1"/>
  <c r="T93" i="1"/>
  <c r="V93" i="1" s="1"/>
  <c r="T94" i="1"/>
  <c r="V94" i="1" s="1"/>
  <c r="T95" i="1"/>
  <c r="V95" i="1" s="1"/>
  <c r="T96" i="1"/>
  <c r="V96" i="1" s="1"/>
  <c r="AD96" i="1" s="1"/>
  <c r="T97" i="1"/>
  <c r="T98" i="1"/>
  <c r="T99" i="1"/>
  <c r="T100" i="1"/>
  <c r="T101" i="1"/>
  <c r="V101" i="1" s="1"/>
  <c r="T102" i="1"/>
  <c r="V102" i="1" s="1"/>
  <c r="T103" i="1"/>
  <c r="V103" i="1" s="1"/>
  <c r="T104" i="1"/>
  <c r="V104" i="1" s="1"/>
  <c r="T105" i="1"/>
  <c r="T106" i="1"/>
  <c r="T107" i="1"/>
  <c r="T108" i="1"/>
  <c r="T109" i="1"/>
  <c r="V109" i="1" s="1"/>
  <c r="T110" i="1"/>
  <c r="V110" i="1" s="1"/>
  <c r="T111" i="1"/>
  <c r="V111" i="1" s="1"/>
  <c r="S92" i="1"/>
  <c r="V92" i="1" s="1"/>
  <c r="S93" i="1"/>
  <c r="S94" i="1"/>
  <c r="S95" i="1"/>
  <c r="S96" i="1"/>
  <c r="S97" i="1"/>
  <c r="V97" i="1" s="1"/>
  <c r="S98" i="1"/>
  <c r="V98" i="1" s="1"/>
  <c r="S99" i="1"/>
  <c r="V99" i="1" s="1"/>
  <c r="S100" i="1"/>
  <c r="V100" i="1" s="1"/>
  <c r="S101" i="1"/>
  <c r="S102" i="1"/>
  <c r="S103" i="1"/>
  <c r="S104" i="1"/>
  <c r="S105" i="1"/>
  <c r="V105" i="1" s="1"/>
  <c r="S106" i="1"/>
  <c r="V106" i="1" s="1"/>
  <c r="S107" i="1"/>
  <c r="V107" i="1" s="1"/>
  <c r="S108" i="1"/>
  <c r="V108" i="1" s="1"/>
  <c r="S109" i="1"/>
  <c r="S110" i="1"/>
  <c r="S111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U46" i="1"/>
  <c r="V46" i="1"/>
  <c r="Z46" i="1"/>
  <c r="AA46" i="1"/>
  <c r="AB46" i="1"/>
  <c r="AC46" i="1"/>
  <c r="AD46" i="1"/>
  <c r="AE46" i="1"/>
  <c r="AM46" i="1"/>
  <c r="AP46" i="1" s="1"/>
  <c r="AM44" i="1"/>
  <c r="AP44" i="1" s="1"/>
  <c r="AM47" i="1"/>
  <c r="AP47" i="1" s="1"/>
  <c r="AM48" i="1"/>
  <c r="AR48" i="1" s="1"/>
  <c r="AM49" i="1"/>
  <c r="AO49" i="1" s="1"/>
  <c r="AE44" i="1"/>
  <c r="AE47" i="1"/>
  <c r="AE48" i="1"/>
  <c r="AE49" i="1"/>
  <c r="AD44" i="1"/>
  <c r="AD47" i="1"/>
  <c r="AD48" i="1"/>
  <c r="AD49" i="1"/>
  <c r="AC44" i="1"/>
  <c r="AC47" i="1"/>
  <c r="AC48" i="1"/>
  <c r="AC49" i="1"/>
  <c r="AB44" i="1"/>
  <c r="AB47" i="1"/>
  <c r="AB48" i="1"/>
  <c r="AB49" i="1"/>
  <c r="AA44" i="1"/>
  <c r="AA47" i="1"/>
  <c r="AA48" i="1"/>
  <c r="AA49" i="1"/>
  <c r="Z44" i="1"/>
  <c r="Z47" i="1"/>
  <c r="Z48" i="1"/>
  <c r="Z49" i="1"/>
  <c r="V44" i="1"/>
  <c r="V47" i="1"/>
  <c r="V48" i="1"/>
  <c r="V49" i="1"/>
  <c r="U44" i="1"/>
  <c r="U47" i="1"/>
  <c r="U48" i="1"/>
  <c r="U49" i="1"/>
  <c r="K23" i="10"/>
  <c r="I23" i="10"/>
  <c r="J23" i="10" s="1"/>
  <c r="AB9" i="16"/>
  <c r="T9" i="16"/>
  <c r="AP45" i="1" l="1"/>
  <c r="AO45" i="1"/>
  <c r="AN45" i="1"/>
  <c r="AQ45" i="1" s="1"/>
  <c r="AS45" i="1" s="1"/>
  <c r="AT45" i="1" s="1"/>
  <c r="AA110" i="1"/>
  <c r="AC110" i="1" s="1"/>
  <c r="AD110" i="1" s="1"/>
  <c r="AA102" i="1"/>
  <c r="AC102" i="1" s="1"/>
  <c r="AD102" i="1" s="1"/>
  <c r="AA94" i="1"/>
  <c r="AC94" i="1" s="1"/>
  <c r="AD94" i="1" s="1"/>
  <c r="AD105" i="1"/>
  <c r="Y45" i="1"/>
  <c r="X45" i="1"/>
  <c r="AA95" i="1"/>
  <c r="AC95" i="1" s="1"/>
  <c r="AD95" i="1" s="1"/>
  <c r="AA103" i="1"/>
  <c r="AC103" i="1" s="1"/>
  <c r="AD103" i="1" s="1"/>
  <c r="Y107" i="1"/>
  <c r="Y106" i="1"/>
  <c r="X108" i="1"/>
  <c r="AA108" i="1" s="1"/>
  <c r="AC108" i="1" s="1"/>
  <c r="AD108" i="1" s="1"/>
  <c r="X92" i="1"/>
  <c r="Y96" i="1"/>
  <c r="Z100" i="1"/>
  <c r="AA104" i="1"/>
  <c r="AC104" i="1" s="1"/>
  <c r="AD104" i="1" s="1"/>
  <c r="AB100" i="1"/>
  <c r="X107" i="1"/>
  <c r="AA107" i="1" s="1"/>
  <c r="AC107" i="1" s="1"/>
  <c r="AD107" i="1" s="1"/>
  <c r="X99" i="1"/>
  <c r="AA99" i="1" s="1"/>
  <c r="AC99" i="1" s="1"/>
  <c r="AD99" i="1" s="1"/>
  <c r="Y111" i="1"/>
  <c r="AA111" i="1" s="1"/>
  <c r="AC111" i="1" s="1"/>
  <c r="AD111" i="1" s="1"/>
  <c r="Y103" i="1"/>
  <c r="Y95" i="1"/>
  <c r="Z107" i="1"/>
  <c r="Z99" i="1"/>
  <c r="AB107" i="1"/>
  <c r="AB99" i="1"/>
  <c r="Y108" i="1"/>
  <c r="Y92" i="1"/>
  <c r="AA92" i="1" s="1"/>
  <c r="AC92" i="1" s="1"/>
  <c r="AD92" i="1" s="1"/>
  <c r="Y98" i="1"/>
  <c r="X106" i="1"/>
  <c r="AA106" i="1" s="1"/>
  <c r="AC106" i="1" s="1"/>
  <c r="AD106" i="1" s="1"/>
  <c r="X98" i="1"/>
  <c r="Y110" i="1"/>
  <c r="Y102" i="1"/>
  <c r="Y94" i="1"/>
  <c r="Z106" i="1"/>
  <c r="Z98" i="1"/>
  <c r="AA98" i="1" s="1"/>
  <c r="AC98" i="1" s="1"/>
  <c r="AD98" i="1" s="1"/>
  <c r="AB106" i="1"/>
  <c r="AB98" i="1"/>
  <c r="Y100" i="1"/>
  <c r="AA100" i="1" s="1"/>
  <c r="AC100" i="1" s="1"/>
  <c r="AD100" i="1" s="1"/>
  <c r="Y105" i="1"/>
  <c r="Y97" i="1"/>
  <c r="AA105" i="1"/>
  <c r="AC105" i="1" s="1"/>
  <c r="AA97" i="1"/>
  <c r="AC97" i="1" s="1"/>
  <c r="AD97" i="1" s="1"/>
  <c r="Z108" i="1"/>
  <c r="Z92" i="1"/>
  <c r="AN46" i="1"/>
  <c r="W46" i="1"/>
  <c r="X105" i="1"/>
  <c r="X97" i="1"/>
  <c r="Y109" i="1"/>
  <c r="AA109" i="1" s="1"/>
  <c r="AC109" i="1" s="1"/>
  <c r="AD109" i="1" s="1"/>
  <c r="Y101" i="1"/>
  <c r="AA101" i="1" s="1"/>
  <c r="AC101" i="1" s="1"/>
  <c r="AD101" i="1" s="1"/>
  <c r="Y93" i="1"/>
  <c r="AA93" i="1" s="1"/>
  <c r="AC93" i="1" s="1"/>
  <c r="AD93" i="1" s="1"/>
  <c r="Z105" i="1"/>
  <c r="Z97" i="1"/>
  <c r="AO46" i="1"/>
  <c r="X46" i="1"/>
  <c r="AH46" i="1" s="1"/>
  <c r="Y46" i="1"/>
  <c r="AR46" i="1"/>
  <c r="AQ46" i="1"/>
  <c r="AG46" i="1"/>
  <c r="W44" i="1"/>
  <c r="X44" i="1" s="1"/>
  <c r="AH44" i="1" s="1"/>
  <c r="AN47" i="1"/>
  <c r="AO48" i="1"/>
  <c r="AO47" i="1"/>
  <c r="AP49" i="1"/>
  <c r="AP48" i="1"/>
  <c r="W49" i="1"/>
  <c r="X49" i="1" s="1"/>
  <c r="W48" i="1"/>
  <c r="X48" i="1" s="1"/>
  <c r="W47" i="1"/>
  <c r="X47" i="1" s="1"/>
  <c r="AN48" i="1"/>
  <c r="AR47" i="1"/>
  <c r="AN49" i="1"/>
  <c r="AR44" i="1"/>
  <c r="AO44" i="1"/>
  <c r="AN44" i="1"/>
  <c r="AR49" i="1"/>
  <c r="L23" i="10"/>
  <c r="AB11" i="16"/>
  <c r="AB13" i="16"/>
  <c r="AB15" i="16"/>
  <c r="AB24" i="16"/>
  <c r="AB26" i="16"/>
  <c r="AB28" i="16"/>
  <c r="AB22" i="16"/>
  <c r="T24" i="16"/>
  <c r="T25" i="16"/>
  <c r="U25" i="16" s="1"/>
  <c r="V25" i="16" s="1"/>
  <c r="T26" i="16"/>
  <c r="T27" i="16"/>
  <c r="U27" i="16" s="1"/>
  <c r="V27" i="16" s="1"/>
  <c r="T28" i="16"/>
  <c r="T29" i="16"/>
  <c r="U29" i="16" s="1"/>
  <c r="V29" i="16" s="1"/>
  <c r="T22" i="16"/>
  <c r="T13" i="16"/>
  <c r="T11" i="16"/>
  <c r="T12" i="16"/>
  <c r="U12" i="16" s="1"/>
  <c r="V12" i="16" s="1"/>
  <c r="T14" i="16"/>
  <c r="U14" i="16" s="1"/>
  <c r="V14" i="16" s="1"/>
  <c r="T15" i="16"/>
  <c r="T16" i="16"/>
  <c r="U16" i="16" s="1"/>
  <c r="V16" i="16" s="1"/>
  <c r="W22" i="16"/>
  <c r="Y22" i="16" s="1"/>
  <c r="S22" i="16"/>
  <c r="S9" i="16"/>
  <c r="U9" i="16" s="1"/>
  <c r="V9" i="16" s="1"/>
  <c r="W29" i="16"/>
  <c r="AB29" i="16" s="1"/>
  <c r="W28" i="16"/>
  <c r="X28" i="16" s="1"/>
  <c r="S28" i="16"/>
  <c r="W27" i="16"/>
  <c r="AB27" i="16" s="1"/>
  <c r="W26" i="16"/>
  <c r="X26" i="16" s="1"/>
  <c r="S26" i="16"/>
  <c r="U26" i="16" s="1"/>
  <c r="V26" i="16" s="1"/>
  <c r="W25" i="16"/>
  <c r="Y25" i="16" s="1"/>
  <c r="X24" i="16"/>
  <c r="W24" i="16"/>
  <c r="Z24" i="16" s="1"/>
  <c r="S24" i="16"/>
  <c r="W23" i="16"/>
  <c r="X23" i="16" s="1"/>
  <c r="T23" i="16"/>
  <c r="U23" i="16" s="1"/>
  <c r="V23" i="16" s="1"/>
  <c r="W16" i="16"/>
  <c r="Y16" i="16" s="1"/>
  <c r="W15" i="16"/>
  <c r="S15" i="16"/>
  <c r="W14" i="16"/>
  <c r="AB14" i="16" s="1"/>
  <c r="W13" i="16"/>
  <c r="Y13" i="16" s="1"/>
  <c r="S13" i="16"/>
  <c r="W12" i="16"/>
  <c r="AB12" i="16" s="1"/>
  <c r="W11" i="16"/>
  <c r="X11" i="16" s="1"/>
  <c r="S11" i="16"/>
  <c r="W10" i="16"/>
  <c r="X10" i="16" s="1"/>
  <c r="T10" i="16"/>
  <c r="U10" i="16" s="1"/>
  <c r="V10" i="16" s="1"/>
  <c r="W9" i="16"/>
  <c r="Y25" i="1"/>
  <c r="Y60" i="1"/>
  <c r="X60" i="1"/>
  <c r="W60" i="1"/>
  <c r="V60" i="1"/>
  <c r="V25" i="1"/>
  <c r="S60" i="1"/>
  <c r="X26" i="1"/>
  <c r="X27" i="1"/>
  <c r="X28" i="1"/>
  <c r="X29" i="1"/>
  <c r="X30" i="1"/>
  <c r="X31" i="1"/>
  <c r="X32" i="1"/>
  <c r="X33" i="1"/>
  <c r="W26" i="1"/>
  <c r="W27" i="1"/>
  <c r="W28" i="1"/>
  <c r="W29" i="1"/>
  <c r="W30" i="1"/>
  <c r="W31" i="1"/>
  <c r="W32" i="1"/>
  <c r="W33" i="1"/>
  <c r="X25" i="1"/>
  <c r="W25" i="1"/>
  <c r="V26" i="1"/>
  <c r="V27" i="1"/>
  <c r="V28" i="1"/>
  <c r="V29" i="1"/>
  <c r="V30" i="1"/>
  <c r="V31" i="1"/>
  <c r="V32" i="1"/>
  <c r="V33" i="1"/>
  <c r="X10" i="15"/>
  <c r="X11" i="15"/>
  <c r="X12" i="15"/>
  <c r="X9" i="15"/>
  <c r="W9" i="15"/>
  <c r="W10" i="15"/>
  <c r="W11" i="15"/>
  <c r="W12" i="15"/>
  <c r="V10" i="15"/>
  <c r="V11" i="15"/>
  <c r="V12" i="15"/>
  <c r="V9" i="15"/>
  <c r="AC9" i="15"/>
  <c r="T12" i="15"/>
  <c r="S12" i="15"/>
  <c r="AC11" i="15"/>
  <c r="AD11" i="15" s="1"/>
  <c r="T11" i="15"/>
  <c r="S11" i="15"/>
  <c r="AC10" i="15"/>
  <c r="T10" i="15"/>
  <c r="S10" i="15"/>
  <c r="T9" i="15"/>
  <c r="S9" i="15"/>
  <c r="W19" i="14"/>
  <c r="Y19" i="14"/>
  <c r="AA19" i="14" s="1"/>
  <c r="W27" i="14"/>
  <c r="W26" i="14"/>
  <c r="W25" i="14"/>
  <c r="W23" i="14"/>
  <c r="W24" i="14"/>
  <c r="W22" i="14"/>
  <c r="W21" i="14"/>
  <c r="W20" i="14"/>
  <c r="Y20" i="14"/>
  <c r="AA20" i="14" s="1"/>
  <c r="Y24" i="14"/>
  <c r="AA24" i="14" s="1"/>
  <c r="AA33" i="14"/>
  <c r="Y33" i="14"/>
  <c r="W33" i="14"/>
  <c r="U21" i="14"/>
  <c r="T20" i="14"/>
  <c r="T19" i="14"/>
  <c r="T24" i="14"/>
  <c r="U19" i="14"/>
  <c r="U27" i="14"/>
  <c r="U26" i="14"/>
  <c r="U25" i="14"/>
  <c r="U24" i="14"/>
  <c r="U23" i="14"/>
  <c r="U22" i="14"/>
  <c r="U20" i="14"/>
  <c r="V33" i="14"/>
  <c r="Y34" i="14"/>
  <c r="Y35" i="14"/>
  <c r="Y36" i="14"/>
  <c r="Y37" i="14"/>
  <c r="Y38" i="14"/>
  <c r="Y39" i="14"/>
  <c r="Y40" i="14"/>
  <c r="Y41" i="14"/>
  <c r="S21" i="14"/>
  <c r="T21" i="14" s="1"/>
  <c r="S22" i="14"/>
  <c r="T22" i="14" s="1"/>
  <c r="S23" i="14"/>
  <c r="T23" i="14" s="1"/>
  <c r="S25" i="14"/>
  <c r="T25" i="14" s="1"/>
  <c r="S26" i="14"/>
  <c r="T26" i="14" s="1"/>
  <c r="S27" i="14"/>
  <c r="T27" i="14" s="1"/>
  <c r="AF46" i="1" l="1"/>
  <c r="AQ48" i="1"/>
  <c r="AS48" i="1" s="1"/>
  <c r="AS46" i="1"/>
  <c r="AQ49" i="1"/>
  <c r="AS49" i="1" s="1"/>
  <c r="AG44" i="1"/>
  <c r="AK46" i="1"/>
  <c r="AJ46" i="1"/>
  <c r="AI46" i="1"/>
  <c r="Y44" i="1"/>
  <c r="AI44" i="1" s="1"/>
  <c r="AF44" i="1"/>
  <c r="AQ44" i="1"/>
  <c r="AS44" i="1" s="1"/>
  <c r="Y49" i="1"/>
  <c r="AJ49" i="1" s="1"/>
  <c r="Y48" i="1"/>
  <c r="AI48" i="1" s="1"/>
  <c r="AQ47" i="1"/>
  <c r="AS47" i="1" s="1"/>
  <c r="Y47" i="1"/>
  <c r="AI47" i="1" s="1"/>
  <c r="AH48" i="1"/>
  <c r="AG48" i="1"/>
  <c r="AF48" i="1"/>
  <c r="AG49" i="1"/>
  <c r="AH49" i="1"/>
  <c r="AF49" i="1"/>
  <c r="AK49" i="1"/>
  <c r="AF47" i="1"/>
  <c r="AH47" i="1"/>
  <c r="AG47" i="1"/>
  <c r="U12" i="15"/>
  <c r="Z12" i="15" s="1"/>
  <c r="Z13" i="16"/>
  <c r="U15" i="16"/>
  <c r="V15" i="16" s="1"/>
  <c r="U11" i="15"/>
  <c r="Y11" i="15" s="1"/>
  <c r="Z11" i="16"/>
  <c r="X14" i="16"/>
  <c r="Z16" i="16"/>
  <c r="Y11" i="16"/>
  <c r="Y14" i="16"/>
  <c r="X25" i="16"/>
  <c r="Y28" i="16"/>
  <c r="AB16" i="16"/>
  <c r="AA16" i="16" s="1"/>
  <c r="AC16" i="16" s="1"/>
  <c r="Z14" i="16"/>
  <c r="Z25" i="16"/>
  <c r="Z28" i="16"/>
  <c r="U10" i="15"/>
  <c r="Y10" i="15" s="1"/>
  <c r="X13" i="16"/>
  <c r="AA13" i="16"/>
  <c r="AC13" i="16" s="1"/>
  <c r="S30" i="16"/>
  <c r="U24" i="16"/>
  <c r="V24" i="16" s="1"/>
  <c r="AA14" i="16"/>
  <c r="AC14" i="16" s="1"/>
  <c r="X16" i="16"/>
  <c r="AA24" i="16"/>
  <c r="AC24" i="16" s="1"/>
  <c r="AB25" i="16"/>
  <c r="AA25" i="16" s="1"/>
  <c r="AC25" i="16" s="1"/>
  <c r="AA11" i="16"/>
  <c r="AC11" i="16" s="1"/>
  <c r="U22" i="16"/>
  <c r="V22" i="16" s="1"/>
  <c r="Y10" i="16"/>
  <c r="Z10" i="16"/>
  <c r="AB10" i="16"/>
  <c r="AC10" i="16" s="1"/>
  <c r="U9" i="15"/>
  <c r="Z9" i="15" s="1"/>
  <c r="U28" i="16"/>
  <c r="V28" i="16" s="1"/>
  <c r="AA27" i="16"/>
  <c r="AC27" i="16" s="1"/>
  <c r="U13" i="16"/>
  <c r="V13" i="16" s="1"/>
  <c r="X22" i="16"/>
  <c r="Z22" i="16"/>
  <c r="AA22" i="16" s="1"/>
  <c r="AC22" i="16" s="1"/>
  <c r="U11" i="16"/>
  <c r="AA15" i="16"/>
  <c r="AC15" i="16" s="1"/>
  <c r="X12" i="16"/>
  <c r="Y23" i="16"/>
  <c r="Y26" i="16"/>
  <c r="AA28" i="16"/>
  <c r="AC28" i="16" s="1"/>
  <c r="X29" i="16"/>
  <c r="Y9" i="16"/>
  <c r="Y12" i="16"/>
  <c r="X15" i="16"/>
  <c r="Z23" i="16"/>
  <c r="Z26" i="16"/>
  <c r="Y29" i="16"/>
  <c r="Z9" i="16"/>
  <c r="Z12" i="16"/>
  <c r="Y15" i="16"/>
  <c r="S17" i="16"/>
  <c r="AB23" i="16"/>
  <c r="AC23" i="16" s="1"/>
  <c r="Y24" i="16"/>
  <c r="AA26" i="16"/>
  <c r="AC26" i="16" s="1"/>
  <c r="AD26" i="16" s="1"/>
  <c r="X27" i="16"/>
  <c r="Z29" i="16"/>
  <c r="X9" i="16"/>
  <c r="AA12" i="16"/>
  <c r="AC12" i="16" s="1"/>
  <c r="Z15" i="16"/>
  <c r="Y27" i="16"/>
  <c r="AA29" i="16"/>
  <c r="AC29" i="16" s="1"/>
  <c r="Z27" i="16"/>
  <c r="AE9" i="15"/>
  <c r="AD9" i="15"/>
  <c r="AF11" i="15"/>
  <c r="AE11" i="15"/>
  <c r="AG11" i="15"/>
  <c r="AI11" i="15" s="1"/>
  <c r="S13" i="15"/>
  <c r="AF9" i="15"/>
  <c r="AE10" i="15"/>
  <c r="AF10" i="15"/>
  <c r="AD10" i="15"/>
  <c r="AB20" i="14"/>
  <c r="V22" i="14"/>
  <c r="X22" i="14" s="1"/>
  <c r="V19" i="14"/>
  <c r="X19" i="14" s="1"/>
  <c r="Y23" i="14"/>
  <c r="AB23" i="14" s="1"/>
  <c r="Z24" i="14"/>
  <c r="Y22" i="14"/>
  <c r="AB22" i="14" s="1"/>
  <c r="Y21" i="14"/>
  <c r="Y27" i="14"/>
  <c r="Z19" i="14"/>
  <c r="Z20" i="14"/>
  <c r="Y26" i="14"/>
  <c r="Y25" i="14"/>
  <c r="AB25" i="14" s="1"/>
  <c r="AB19" i="14"/>
  <c r="AB24" i="14"/>
  <c r="V27" i="14"/>
  <c r="X27" i="14" s="1"/>
  <c r="V24" i="14"/>
  <c r="X24" i="14" s="1"/>
  <c r="V26" i="14"/>
  <c r="X26" i="14" s="1"/>
  <c r="V25" i="14"/>
  <c r="X25" i="14" s="1"/>
  <c r="V20" i="14"/>
  <c r="X20" i="14" s="1"/>
  <c r="V23" i="14"/>
  <c r="X23" i="14" s="1"/>
  <c r="X33" i="14"/>
  <c r="Z33" i="14" s="1"/>
  <c r="V21" i="14"/>
  <c r="X21" i="14" s="1"/>
  <c r="T28" i="14"/>
  <c r="AL46" i="1" l="1"/>
  <c r="AT46" i="1" s="1"/>
  <c r="AG10" i="15"/>
  <c r="AI10" i="15" s="1"/>
  <c r="AA12" i="15"/>
  <c r="AA11" i="15"/>
  <c r="Z11" i="15"/>
  <c r="AB11" i="15" s="1"/>
  <c r="AD13" i="16"/>
  <c r="AK48" i="1"/>
  <c r="AJ48" i="1"/>
  <c r="AL48" i="1" s="1"/>
  <c r="AT48" i="1" s="1"/>
  <c r="AK44" i="1"/>
  <c r="AI49" i="1"/>
  <c r="AJ44" i="1"/>
  <c r="AK47" i="1"/>
  <c r="AJ47" i="1"/>
  <c r="AL47" i="1" s="1"/>
  <c r="AT47" i="1" s="1"/>
  <c r="AL49" i="1"/>
  <c r="AT49" i="1" s="1"/>
  <c r="AD24" i="16"/>
  <c r="Y12" i="15"/>
  <c r="AB12" i="15" s="1"/>
  <c r="AD15" i="16"/>
  <c r="Z10" i="15"/>
  <c r="Z13" i="15" s="1"/>
  <c r="AA10" i="15"/>
  <c r="AB10" i="15" s="1"/>
  <c r="V11" i="16"/>
  <c r="AD11" i="16" s="1"/>
  <c r="AA9" i="16"/>
  <c r="AC9" i="16" s="1"/>
  <c r="AD9" i="16" s="1"/>
  <c r="AG9" i="15"/>
  <c r="AI9" i="15" s="1"/>
  <c r="AA9" i="15"/>
  <c r="Y9" i="15"/>
  <c r="AD28" i="16"/>
  <c r="U17" i="16"/>
  <c r="D34" i="16" s="1"/>
  <c r="U30" i="16"/>
  <c r="D35" i="16" s="1"/>
  <c r="AD22" i="16"/>
  <c r="U13" i="15"/>
  <c r="AA27" i="14"/>
  <c r="Z27" i="14"/>
  <c r="Z26" i="14"/>
  <c r="AA26" i="14"/>
  <c r="AB21" i="14"/>
  <c r="AA21" i="14"/>
  <c r="Z21" i="14"/>
  <c r="AB27" i="14"/>
  <c r="AB26" i="14"/>
  <c r="AA22" i="14"/>
  <c r="Z22" i="14"/>
  <c r="Z25" i="14"/>
  <c r="AA25" i="14"/>
  <c r="AA23" i="14"/>
  <c r="Z23" i="14"/>
  <c r="E82" i="6"/>
  <c r="AL44" i="1" l="1"/>
  <c r="AT44" i="1" s="1"/>
  <c r="V17" i="16"/>
  <c r="E34" i="16" s="1"/>
  <c r="AA13" i="15"/>
  <c r="AB9" i="15"/>
  <c r="Y13" i="15"/>
  <c r="D36" i="16"/>
  <c r="V30" i="16"/>
  <c r="F36" i="16" s="1"/>
  <c r="AC17" i="16"/>
  <c r="F34" i="16" s="1"/>
  <c r="E81" i="6"/>
  <c r="E80" i="6"/>
  <c r="E79" i="6"/>
  <c r="E78" i="6"/>
  <c r="T13" i="14" s="1"/>
  <c r="E77" i="6"/>
  <c r="T12" i="14" s="1"/>
  <c r="E76" i="6"/>
  <c r="E75" i="6"/>
  <c r="V11" i="14"/>
  <c r="W11" i="14" l="1"/>
  <c r="AA11" i="14"/>
  <c r="Z11" i="14" s="1"/>
  <c r="E35" i="16"/>
  <c r="AC30" i="16"/>
  <c r="F35" i="16" s="1"/>
  <c r="AD17" i="16"/>
  <c r="G34" i="16"/>
  <c r="T11" i="14"/>
  <c r="Y11" i="14"/>
  <c r="AD30" i="16" l="1"/>
  <c r="G35" i="16"/>
  <c r="E36" i="16"/>
  <c r="AA41" i="14" l="1"/>
  <c r="AF41" i="14" s="1"/>
  <c r="AE41" i="14" s="1"/>
  <c r="AG41" i="14" s="1"/>
  <c r="W41" i="14"/>
  <c r="V41" i="14"/>
  <c r="AA40" i="14"/>
  <c r="AD40" i="14" s="1"/>
  <c r="W40" i="14"/>
  <c r="V40" i="14"/>
  <c r="AA39" i="14"/>
  <c r="AC39" i="14" s="1"/>
  <c r="W39" i="14"/>
  <c r="V39" i="14"/>
  <c r="AA38" i="14"/>
  <c r="AB38" i="14" s="1"/>
  <c r="W38" i="14"/>
  <c r="V38" i="14"/>
  <c r="AA37" i="14"/>
  <c r="AF37" i="14" s="1"/>
  <c r="AE37" i="14" s="1"/>
  <c r="AG37" i="14" s="1"/>
  <c r="W37" i="14"/>
  <c r="V37" i="14"/>
  <c r="AA36" i="14"/>
  <c r="W36" i="14"/>
  <c r="V36" i="14"/>
  <c r="AA35" i="14"/>
  <c r="W35" i="14"/>
  <c r="V35" i="14"/>
  <c r="AA34" i="14"/>
  <c r="AB34" i="14" s="1"/>
  <c r="W34" i="14"/>
  <c r="V34" i="14"/>
  <c r="AF33" i="14"/>
  <c r="V28" i="14"/>
  <c r="V13" i="14"/>
  <c r="S13" i="14"/>
  <c r="U13" i="14" s="1"/>
  <c r="V12" i="14"/>
  <c r="S12" i="14"/>
  <c r="U12" i="14" s="1"/>
  <c r="S11" i="14"/>
  <c r="U11" i="14" s="1"/>
  <c r="T9" i="11"/>
  <c r="U9" i="11" s="1"/>
  <c r="D28" i="12"/>
  <c r="D12" i="12"/>
  <c r="E10" i="12"/>
  <c r="F10" i="12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V17" i="10"/>
  <c r="M23" i="10"/>
  <c r="V16" i="10"/>
  <c r="Q10" i="11"/>
  <c r="R10" i="11"/>
  <c r="T10" i="11"/>
  <c r="U10" i="11" s="1"/>
  <c r="Q12" i="11"/>
  <c r="R12" i="11"/>
  <c r="T12" i="11"/>
  <c r="W12" i="11" s="1"/>
  <c r="S9" i="11"/>
  <c r="O24" i="10"/>
  <c r="P24" i="10" s="1"/>
  <c r="O25" i="10"/>
  <c r="P25" i="10" s="1"/>
  <c r="O26" i="10"/>
  <c r="P26" i="10" s="1"/>
  <c r="O27" i="10"/>
  <c r="P27" i="10" s="1"/>
  <c r="O28" i="10"/>
  <c r="P28" i="10" s="1"/>
  <c r="O29" i="10"/>
  <c r="P29" i="10" s="1"/>
  <c r="O30" i="10"/>
  <c r="P30" i="10" s="1"/>
  <c r="O31" i="10"/>
  <c r="P31" i="10" s="1"/>
  <c r="O32" i="10"/>
  <c r="P32" i="10" s="1"/>
  <c r="O33" i="10"/>
  <c r="P33" i="10" s="1"/>
  <c r="O34" i="10"/>
  <c r="P34" i="10" s="1"/>
  <c r="O35" i="10"/>
  <c r="P35" i="10" s="1"/>
  <c r="O36" i="10"/>
  <c r="P36" i="10" s="1"/>
  <c r="O37" i="10"/>
  <c r="P37" i="10" s="1"/>
  <c r="O38" i="10"/>
  <c r="P38" i="10" s="1"/>
  <c r="O39" i="10"/>
  <c r="P39" i="10" s="1"/>
  <c r="O23" i="10"/>
  <c r="T23" i="10" s="1"/>
  <c r="I24" i="10"/>
  <c r="J24" i="10" s="1"/>
  <c r="K24" i="10"/>
  <c r="I25" i="10"/>
  <c r="J25" i="10" s="1"/>
  <c r="K25" i="10"/>
  <c r="I26" i="10"/>
  <c r="J26" i="10" s="1"/>
  <c r="K26" i="10"/>
  <c r="I27" i="10"/>
  <c r="J27" i="10" s="1"/>
  <c r="K27" i="10"/>
  <c r="I28" i="10"/>
  <c r="J28" i="10" s="1"/>
  <c r="K28" i="10"/>
  <c r="I29" i="10"/>
  <c r="J29" i="10" s="1"/>
  <c r="K29" i="10"/>
  <c r="I30" i="10"/>
  <c r="J30" i="10" s="1"/>
  <c r="K30" i="10"/>
  <c r="I31" i="10"/>
  <c r="J31" i="10" s="1"/>
  <c r="K31" i="10"/>
  <c r="I32" i="10"/>
  <c r="J32" i="10" s="1"/>
  <c r="K32" i="10"/>
  <c r="I33" i="10"/>
  <c r="J33" i="10" s="1"/>
  <c r="K33" i="10"/>
  <c r="I34" i="10"/>
  <c r="J34" i="10" s="1"/>
  <c r="K34" i="10"/>
  <c r="I35" i="10"/>
  <c r="J35" i="10" s="1"/>
  <c r="K35" i="10"/>
  <c r="I36" i="10"/>
  <c r="J36" i="10" s="1"/>
  <c r="K36" i="10"/>
  <c r="I37" i="10"/>
  <c r="J37" i="10" s="1"/>
  <c r="K37" i="10"/>
  <c r="I38" i="10"/>
  <c r="J38" i="10" s="1"/>
  <c r="K38" i="10"/>
  <c r="I39" i="10"/>
  <c r="J39" i="10" s="1"/>
  <c r="K39" i="10"/>
  <c r="T17" i="10"/>
  <c r="X17" i="10"/>
  <c r="AA17" i="10" s="1"/>
  <c r="X16" i="10"/>
  <c r="AC16" i="10" s="1"/>
  <c r="T16" i="10"/>
  <c r="V10" i="10"/>
  <c r="V9" i="10"/>
  <c r="T10" i="10"/>
  <c r="X10" i="10"/>
  <c r="AA10" i="10" s="1"/>
  <c r="S10" i="10"/>
  <c r="X9" i="10"/>
  <c r="AC9" i="10" s="1"/>
  <c r="T9" i="10"/>
  <c r="S9" i="10"/>
  <c r="W91" i="1"/>
  <c r="AB91" i="1" s="1"/>
  <c r="U91" i="1"/>
  <c r="T91" i="1"/>
  <c r="S91" i="1"/>
  <c r="V75" i="1"/>
  <c r="Z75" i="1"/>
  <c r="AA75" i="1"/>
  <c r="AB75" i="1"/>
  <c r="AC75" i="1"/>
  <c r="AD75" i="1"/>
  <c r="AE75" i="1"/>
  <c r="V76" i="1"/>
  <c r="Z76" i="1"/>
  <c r="AA76" i="1"/>
  <c r="AB76" i="1"/>
  <c r="AC76" i="1"/>
  <c r="AD76" i="1"/>
  <c r="AE76" i="1"/>
  <c r="V77" i="1"/>
  <c r="Z77" i="1"/>
  <c r="AA77" i="1"/>
  <c r="AB77" i="1"/>
  <c r="AC77" i="1"/>
  <c r="AD77" i="1"/>
  <c r="AE77" i="1"/>
  <c r="V78" i="1"/>
  <c r="Z78" i="1"/>
  <c r="AA78" i="1"/>
  <c r="AB78" i="1"/>
  <c r="AC78" i="1"/>
  <c r="AD78" i="1"/>
  <c r="AE78" i="1"/>
  <c r="V79" i="1"/>
  <c r="Z79" i="1"/>
  <c r="AA79" i="1"/>
  <c r="AB79" i="1"/>
  <c r="AC79" i="1"/>
  <c r="AD79" i="1"/>
  <c r="AE79" i="1"/>
  <c r="V80" i="1"/>
  <c r="Z80" i="1"/>
  <c r="AA80" i="1"/>
  <c r="AB80" i="1"/>
  <c r="AC80" i="1"/>
  <c r="AD80" i="1"/>
  <c r="AE80" i="1"/>
  <c r="V81" i="1"/>
  <c r="Z81" i="1"/>
  <c r="AA81" i="1"/>
  <c r="AB81" i="1"/>
  <c r="AC81" i="1"/>
  <c r="AD81" i="1"/>
  <c r="AE81" i="1"/>
  <c r="V82" i="1"/>
  <c r="Z82" i="1"/>
  <c r="AA82" i="1"/>
  <c r="AB82" i="1"/>
  <c r="AC82" i="1"/>
  <c r="AD82" i="1"/>
  <c r="AE82" i="1"/>
  <c r="V83" i="1"/>
  <c r="Z83" i="1"/>
  <c r="AA83" i="1"/>
  <c r="AB83" i="1"/>
  <c r="AC83" i="1"/>
  <c r="AD83" i="1"/>
  <c r="AE83" i="1"/>
  <c r="V84" i="1"/>
  <c r="Z84" i="1"/>
  <c r="AA84" i="1"/>
  <c r="AB84" i="1"/>
  <c r="AC84" i="1"/>
  <c r="AD84" i="1"/>
  <c r="AE84" i="1"/>
  <c r="V85" i="1"/>
  <c r="Z85" i="1"/>
  <c r="AA85" i="1"/>
  <c r="AB85" i="1"/>
  <c r="AC85" i="1"/>
  <c r="AD85" i="1"/>
  <c r="AE85" i="1"/>
  <c r="AE74" i="1"/>
  <c r="AD74" i="1"/>
  <c r="AC74" i="1"/>
  <c r="AB74" i="1"/>
  <c r="AA74" i="1"/>
  <c r="V61" i="1"/>
  <c r="W61" i="1"/>
  <c r="X61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AM85" i="1"/>
  <c r="AR85" i="1" s="1"/>
  <c r="U85" i="1"/>
  <c r="AM84" i="1"/>
  <c r="AR84" i="1" s="1"/>
  <c r="U84" i="1"/>
  <c r="AM83" i="1"/>
  <c r="AR83" i="1" s="1"/>
  <c r="U83" i="1"/>
  <c r="AM82" i="1"/>
  <c r="AR82" i="1" s="1"/>
  <c r="AQ82" i="1" s="1"/>
  <c r="AS82" i="1" s="1"/>
  <c r="U82" i="1"/>
  <c r="AM81" i="1"/>
  <c r="AN81" i="1" s="1"/>
  <c r="U81" i="1"/>
  <c r="AM80" i="1"/>
  <c r="AR80" i="1" s="1"/>
  <c r="U80" i="1"/>
  <c r="AM79" i="1"/>
  <c r="AR79" i="1" s="1"/>
  <c r="U79" i="1"/>
  <c r="AM78" i="1"/>
  <c r="AN78" i="1" s="1"/>
  <c r="U78" i="1"/>
  <c r="AM77" i="1"/>
  <c r="AN77" i="1" s="1"/>
  <c r="U77" i="1"/>
  <c r="AM76" i="1"/>
  <c r="AR76" i="1" s="1"/>
  <c r="U76" i="1"/>
  <c r="AM75" i="1"/>
  <c r="AR75" i="1" s="1"/>
  <c r="U75" i="1"/>
  <c r="AM74" i="1"/>
  <c r="AN74" i="1" s="1"/>
  <c r="Z74" i="1"/>
  <c r="V74" i="1"/>
  <c r="U74" i="1"/>
  <c r="AE68" i="1"/>
  <c r="AJ68" i="1" s="1"/>
  <c r="Y68" i="1"/>
  <c r="AA68" i="1" s="1"/>
  <c r="T68" i="1"/>
  <c r="S68" i="1"/>
  <c r="AE67" i="1"/>
  <c r="AJ67" i="1" s="1"/>
  <c r="AI67" i="1" s="1"/>
  <c r="AK67" i="1" s="1"/>
  <c r="Y67" i="1"/>
  <c r="AA67" i="1" s="1"/>
  <c r="T67" i="1"/>
  <c r="S67" i="1"/>
  <c r="AE66" i="1"/>
  <c r="AJ66" i="1" s="1"/>
  <c r="Y66" i="1"/>
  <c r="AA66" i="1" s="1"/>
  <c r="T66" i="1"/>
  <c r="S66" i="1"/>
  <c r="AE65" i="1"/>
  <c r="AJ65" i="1" s="1"/>
  <c r="AI65" i="1" s="1"/>
  <c r="AK65" i="1" s="1"/>
  <c r="Y65" i="1"/>
  <c r="AA65" i="1" s="1"/>
  <c r="T65" i="1"/>
  <c r="S65" i="1"/>
  <c r="AE64" i="1"/>
  <c r="AJ64" i="1" s="1"/>
  <c r="Y64" i="1"/>
  <c r="AA64" i="1" s="1"/>
  <c r="T64" i="1"/>
  <c r="S64" i="1"/>
  <c r="AE63" i="1"/>
  <c r="AJ63" i="1" s="1"/>
  <c r="AI63" i="1" s="1"/>
  <c r="AK63" i="1" s="1"/>
  <c r="Y63" i="1"/>
  <c r="AA63" i="1" s="1"/>
  <c r="T63" i="1"/>
  <c r="S63" i="1"/>
  <c r="AE62" i="1"/>
  <c r="AJ62" i="1" s="1"/>
  <c r="Y62" i="1"/>
  <c r="AA62" i="1" s="1"/>
  <c r="T62" i="1"/>
  <c r="S62" i="1"/>
  <c r="AE61" i="1"/>
  <c r="AJ61" i="1" s="1"/>
  <c r="AI61" i="1" s="1"/>
  <c r="AK61" i="1" s="1"/>
  <c r="Y61" i="1"/>
  <c r="AA61" i="1" s="1"/>
  <c r="T61" i="1"/>
  <c r="S61" i="1"/>
  <c r="AE60" i="1"/>
  <c r="AJ60" i="1" s="1"/>
  <c r="T60" i="1"/>
  <c r="AM40" i="1"/>
  <c r="AN40" i="1" s="1"/>
  <c r="AM41" i="1"/>
  <c r="AN41" i="1" s="1"/>
  <c r="AM42" i="1"/>
  <c r="AN42" i="1" s="1"/>
  <c r="AM43" i="1"/>
  <c r="AN43" i="1" s="1"/>
  <c r="AM50" i="1"/>
  <c r="AN50" i="1" s="1"/>
  <c r="AM51" i="1"/>
  <c r="AN51" i="1" s="1"/>
  <c r="AM39" i="1"/>
  <c r="AR39" i="1" s="1"/>
  <c r="V40" i="1"/>
  <c r="Z40" i="1"/>
  <c r="AA40" i="1"/>
  <c r="AB40" i="1"/>
  <c r="AC40" i="1"/>
  <c r="AD40" i="1"/>
  <c r="AE40" i="1"/>
  <c r="V41" i="1"/>
  <c r="Z41" i="1"/>
  <c r="AA41" i="1"/>
  <c r="AB41" i="1"/>
  <c r="AC41" i="1"/>
  <c r="AD41" i="1"/>
  <c r="AE41" i="1"/>
  <c r="V42" i="1"/>
  <c r="Z42" i="1"/>
  <c r="AA42" i="1"/>
  <c r="AB42" i="1"/>
  <c r="AC42" i="1"/>
  <c r="AD42" i="1"/>
  <c r="AE42" i="1"/>
  <c r="V43" i="1"/>
  <c r="Z43" i="1"/>
  <c r="AA43" i="1"/>
  <c r="AB43" i="1"/>
  <c r="AC43" i="1"/>
  <c r="AD43" i="1"/>
  <c r="AE43" i="1"/>
  <c r="V50" i="1"/>
  <c r="Z50" i="1"/>
  <c r="AA50" i="1"/>
  <c r="AB50" i="1"/>
  <c r="AC50" i="1"/>
  <c r="AD50" i="1"/>
  <c r="AE50" i="1"/>
  <c r="V51" i="1"/>
  <c r="Z51" i="1"/>
  <c r="AA51" i="1"/>
  <c r="AB51" i="1"/>
  <c r="AC51" i="1"/>
  <c r="AD51" i="1"/>
  <c r="AE51" i="1"/>
  <c r="AE39" i="1"/>
  <c r="AD39" i="1"/>
  <c r="AC39" i="1"/>
  <c r="AB39" i="1"/>
  <c r="AA39" i="1"/>
  <c r="Z39" i="1"/>
  <c r="U40" i="1"/>
  <c r="U41" i="1"/>
  <c r="U42" i="1"/>
  <c r="U43" i="1"/>
  <c r="U50" i="1"/>
  <c r="U51" i="1"/>
  <c r="V39" i="1"/>
  <c r="S12" i="1"/>
  <c r="T12" i="1"/>
  <c r="V12" i="1"/>
  <c r="W12" i="1"/>
  <c r="X12" i="1"/>
  <c r="Y12" i="1"/>
  <c r="AA12" i="1" s="1"/>
  <c r="AE12" i="1"/>
  <c r="AJ12" i="1" s="1"/>
  <c r="AI12" i="1" s="1"/>
  <c r="AK12" i="1" s="1"/>
  <c r="S13" i="1"/>
  <c r="T13" i="1"/>
  <c r="V13" i="1"/>
  <c r="W13" i="1"/>
  <c r="X13" i="1"/>
  <c r="Y13" i="1"/>
  <c r="AE13" i="1"/>
  <c r="AF13" i="1" s="1"/>
  <c r="S14" i="1"/>
  <c r="T14" i="1"/>
  <c r="V14" i="1"/>
  <c r="W14" i="1"/>
  <c r="X14" i="1"/>
  <c r="Y14" i="1"/>
  <c r="AA14" i="1" s="1"/>
  <c r="AE14" i="1"/>
  <c r="AJ14" i="1" s="1"/>
  <c r="AI14" i="1" s="1"/>
  <c r="AK14" i="1" s="1"/>
  <c r="S15" i="1"/>
  <c r="T15" i="1"/>
  <c r="V15" i="1"/>
  <c r="W15" i="1"/>
  <c r="X15" i="1"/>
  <c r="Y15" i="1"/>
  <c r="AA15" i="1" s="1"/>
  <c r="AE15" i="1"/>
  <c r="AF15" i="1" s="1"/>
  <c r="S16" i="1"/>
  <c r="T16" i="1"/>
  <c r="V16" i="1"/>
  <c r="W16" i="1"/>
  <c r="X16" i="1"/>
  <c r="Y16" i="1"/>
  <c r="AA16" i="1" s="1"/>
  <c r="AE16" i="1"/>
  <c r="AJ16" i="1" s="1"/>
  <c r="AI16" i="1" s="1"/>
  <c r="AK16" i="1" s="1"/>
  <c r="S17" i="1"/>
  <c r="T17" i="1"/>
  <c r="V17" i="1"/>
  <c r="W17" i="1"/>
  <c r="X17" i="1"/>
  <c r="Y17" i="1"/>
  <c r="AA17" i="1" s="1"/>
  <c r="AE17" i="1"/>
  <c r="AF17" i="1" s="1"/>
  <c r="S18" i="1"/>
  <c r="T18" i="1"/>
  <c r="V18" i="1"/>
  <c r="W18" i="1"/>
  <c r="X18" i="1"/>
  <c r="Y18" i="1"/>
  <c r="AA18" i="1" s="1"/>
  <c r="AE18" i="1"/>
  <c r="AJ18" i="1" s="1"/>
  <c r="AI18" i="1" s="1"/>
  <c r="AK18" i="1" s="1"/>
  <c r="S19" i="1"/>
  <c r="T19" i="1"/>
  <c r="V19" i="1"/>
  <c r="W19" i="1"/>
  <c r="X19" i="1"/>
  <c r="Y19" i="1"/>
  <c r="AA19" i="1" s="1"/>
  <c r="AE19" i="1"/>
  <c r="AF19" i="1" s="1"/>
  <c r="S26" i="1"/>
  <c r="T26" i="1"/>
  <c r="Y26" i="1"/>
  <c r="AA26" i="1" s="1"/>
  <c r="AE26" i="1"/>
  <c r="AH26" i="1" s="1"/>
  <c r="S27" i="1"/>
  <c r="T27" i="1"/>
  <c r="Y27" i="1"/>
  <c r="AA27" i="1" s="1"/>
  <c r="AE27" i="1"/>
  <c r="AF27" i="1" s="1"/>
  <c r="S28" i="1"/>
  <c r="T28" i="1"/>
  <c r="Y28" i="1"/>
  <c r="AA28" i="1" s="1"/>
  <c r="AE28" i="1"/>
  <c r="AH28" i="1" s="1"/>
  <c r="S29" i="1"/>
  <c r="T29" i="1"/>
  <c r="Y29" i="1"/>
  <c r="AE29" i="1"/>
  <c r="AF29" i="1" s="1"/>
  <c r="S30" i="1"/>
  <c r="T30" i="1"/>
  <c r="Y30" i="1"/>
  <c r="AA30" i="1" s="1"/>
  <c r="AE30" i="1"/>
  <c r="AH30" i="1" s="1"/>
  <c r="S31" i="1"/>
  <c r="T31" i="1"/>
  <c r="Y31" i="1"/>
  <c r="AA31" i="1" s="1"/>
  <c r="AE31" i="1"/>
  <c r="AF31" i="1" s="1"/>
  <c r="S32" i="1"/>
  <c r="T32" i="1"/>
  <c r="Y32" i="1"/>
  <c r="AA32" i="1" s="1"/>
  <c r="AE32" i="1"/>
  <c r="AH32" i="1" s="1"/>
  <c r="S33" i="1"/>
  <c r="T33" i="1"/>
  <c r="Y33" i="1"/>
  <c r="AA33" i="1" s="1"/>
  <c r="AE33" i="1"/>
  <c r="AF33" i="1" s="1"/>
  <c r="T25" i="1"/>
  <c r="AE25" i="1"/>
  <c r="AJ25" i="1" s="1"/>
  <c r="S25" i="1"/>
  <c r="U39" i="1"/>
  <c r="AE11" i="1"/>
  <c r="AJ11" i="1" s="1"/>
  <c r="W12" i="14" l="1"/>
  <c r="AA12" i="14"/>
  <c r="X13" i="14"/>
  <c r="AA13" i="14"/>
  <c r="Z13" i="14" s="1"/>
  <c r="AB13" i="14" s="1"/>
  <c r="Y9" i="11"/>
  <c r="W9" i="11"/>
  <c r="V42" i="14"/>
  <c r="X28" i="14"/>
  <c r="X34" i="14"/>
  <c r="Z34" i="14" s="1"/>
  <c r="S14" i="14"/>
  <c r="U14" i="14"/>
  <c r="X35" i="14"/>
  <c r="Z35" i="14" s="1"/>
  <c r="X41" i="14"/>
  <c r="Z41" i="14" s="1"/>
  <c r="X36" i="14"/>
  <c r="Z36" i="14" s="1"/>
  <c r="AD26" i="14"/>
  <c r="AC26" i="14" s="1"/>
  <c r="AE26" i="14" s="1"/>
  <c r="X37" i="14"/>
  <c r="Z37" i="14" s="1"/>
  <c r="X39" i="14"/>
  <c r="Z39" i="14" s="1"/>
  <c r="AC34" i="14"/>
  <c r="AD34" i="14"/>
  <c r="X12" i="14"/>
  <c r="Y12" i="14"/>
  <c r="Z12" i="14"/>
  <c r="AB12" i="14" s="1"/>
  <c r="AD20" i="14"/>
  <c r="AC20" i="14" s="1"/>
  <c r="AE20" i="14" s="1"/>
  <c r="AD24" i="14"/>
  <c r="AC24" i="14" s="1"/>
  <c r="AE24" i="14" s="1"/>
  <c r="AB37" i="14"/>
  <c r="AF34" i="14"/>
  <c r="AE34" i="14" s="1"/>
  <c r="AG34" i="14" s="1"/>
  <c r="X40" i="14"/>
  <c r="Z40" i="14" s="1"/>
  <c r="AB40" i="14"/>
  <c r="AD22" i="14"/>
  <c r="AC22" i="14" s="1"/>
  <c r="AE22" i="14" s="1"/>
  <c r="AC38" i="14"/>
  <c r="AB33" i="14"/>
  <c r="AD38" i="14"/>
  <c r="AC40" i="14"/>
  <c r="AF38" i="14"/>
  <c r="AE38" i="14" s="1"/>
  <c r="AG38" i="14" s="1"/>
  <c r="AF36" i="14"/>
  <c r="AE36" i="14" s="1"/>
  <c r="AG36" i="14" s="1"/>
  <c r="W13" i="14"/>
  <c r="AD25" i="14"/>
  <c r="AC25" i="14" s="1"/>
  <c r="AE25" i="14" s="1"/>
  <c r="AD35" i="14"/>
  <c r="AC35" i="14"/>
  <c r="AB36" i="14"/>
  <c r="AB35" i="14"/>
  <c r="AD36" i="14"/>
  <c r="AD27" i="14"/>
  <c r="AC27" i="14" s="1"/>
  <c r="AE27" i="14" s="1"/>
  <c r="AD33" i="14"/>
  <c r="AC33" i="14"/>
  <c r="AF39" i="14"/>
  <c r="AE39" i="14" s="1"/>
  <c r="AG39" i="14" s="1"/>
  <c r="AD39" i="14"/>
  <c r="AF40" i="14"/>
  <c r="AE40" i="14" s="1"/>
  <c r="AG40" i="14" s="1"/>
  <c r="X11" i="14"/>
  <c r="Y13" i="14"/>
  <c r="AD21" i="14"/>
  <c r="AC21" i="14" s="1"/>
  <c r="AE21" i="14" s="1"/>
  <c r="AF35" i="14"/>
  <c r="AE35" i="14" s="1"/>
  <c r="AG35" i="14" s="1"/>
  <c r="AB39" i="14"/>
  <c r="AD19" i="14"/>
  <c r="AC36" i="14"/>
  <c r="AD23" i="14"/>
  <c r="AC23" i="14" s="1"/>
  <c r="AE23" i="14" s="1"/>
  <c r="X38" i="14"/>
  <c r="Z38" i="14" s="1"/>
  <c r="AD41" i="14"/>
  <c r="AC41" i="14"/>
  <c r="AD37" i="14"/>
  <c r="AC37" i="14"/>
  <c r="AB41" i="14"/>
  <c r="S10" i="11"/>
  <c r="W79" i="1"/>
  <c r="X79" i="1" s="1"/>
  <c r="AG79" i="1" s="1"/>
  <c r="V12" i="11"/>
  <c r="U12" i="11"/>
  <c r="L34" i="10"/>
  <c r="N34" i="10" s="1"/>
  <c r="L32" i="10"/>
  <c r="N32" i="10" s="1"/>
  <c r="L31" i="10"/>
  <c r="N31" i="10" s="1"/>
  <c r="L30" i="10"/>
  <c r="N30" i="10" s="1"/>
  <c r="L29" i="10"/>
  <c r="N29" i="10" s="1"/>
  <c r="S12" i="11"/>
  <c r="Y12" i="11"/>
  <c r="Y10" i="11"/>
  <c r="V10" i="11"/>
  <c r="W10" i="11"/>
  <c r="V9" i="11"/>
  <c r="V91" i="1"/>
  <c r="L39" i="10"/>
  <c r="L26" i="10"/>
  <c r="N26" i="10" s="1"/>
  <c r="L38" i="10"/>
  <c r="N38" i="10" s="1"/>
  <c r="N23" i="10"/>
  <c r="L25" i="10"/>
  <c r="N25" i="10" s="1"/>
  <c r="L33" i="10"/>
  <c r="N33" i="10" s="1"/>
  <c r="L24" i="10"/>
  <c r="N24" i="10" s="1"/>
  <c r="Q23" i="10"/>
  <c r="L37" i="10"/>
  <c r="N37" i="10" s="1"/>
  <c r="L36" i="10"/>
  <c r="N36" i="10" s="1"/>
  <c r="L28" i="10"/>
  <c r="N28" i="10" s="1"/>
  <c r="L35" i="10"/>
  <c r="N35" i="10" s="1"/>
  <c r="L27" i="10"/>
  <c r="N27" i="10" s="1"/>
  <c r="T39" i="10"/>
  <c r="S39" i="10" s="1"/>
  <c r="U39" i="10" s="1"/>
  <c r="T38" i="10"/>
  <c r="S38" i="10" s="1"/>
  <c r="U38" i="10" s="1"/>
  <c r="T37" i="10"/>
  <c r="S37" i="10" s="1"/>
  <c r="U37" i="10" s="1"/>
  <c r="T36" i="10"/>
  <c r="S36" i="10" s="1"/>
  <c r="U36" i="10" s="1"/>
  <c r="T35" i="10"/>
  <c r="S35" i="10" s="1"/>
  <c r="U35" i="10" s="1"/>
  <c r="T34" i="10"/>
  <c r="S34" i="10" s="1"/>
  <c r="U34" i="10" s="1"/>
  <c r="T33" i="10"/>
  <c r="S33" i="10" s="1"/>
  <c r="U33" i="10" s="1"/>
  <c r="T32" i="10"/>
  <c r="S32" i="10" s="1"/>
  <c r="U32" i="10" s="1"/>
  <c r="T31" i="10"/>
  <c r="S31" i="10" s="1"/>
  <c r="U31" i="10" s="1"/>
  <c r="T30" i="10"/>
  <c r="S30" i="10" s="1"/>
  <c r="U30" i="10" s="1"/>
  <c r="T29" i="10"/>
  <c r="S29" i="10" s="1"/>
  <c r="U29" i="10" s="1"/>
  <c r="T28" i="10"/>
  <c r="S28" i="10" s="1"/>
  <c r="U28" i="10" s="1"/>
  <c r="T27" i="10"/>
  <c r="S27" i="10" s="1"/>
  <c r="U27" i="10" s="1"/>
  <c r="T26" i="10"/>
  <c r="S26" i="10" s="1"/>
  <c r="U26" i="10" s="1"/>
  <c r="T25" i="10"/>
  <c r="S25" i="10" s="1"/>
  <c r="U25" i="10" s="1"/>
  <c r="T24" i="10"/>
  <c r="S24" i="10" s="1"/>
  <c r="U24" i="10" s="1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S23" i="10"/>
  <c r="U23" i="10" s="1"/>
  <c r="R23" i="10"/>
  <c r="P23" i="10"/>
  <c r="N39" i="10"/>
  <c r="U16" i="10"/>
  <c r="U17" i="10"/>
  <c r="W17" i="10" s="1"/>
  <c r="AC17" i="10"/>
  <c r="AB17" i="10" s="1"/>
  <c r="AD17" i="10" s="1"/>
  <c r="Z17" i="10"/>
  <c r="Y17" i="10"/>
  <c r="S18" i="10"/>
  <c r="Y16" i="10"/>
  <c r="Z16" i="10"/>
  <c r="AA16" i="10"/>
  <c r="AC10" i="10"/>
  <c r="AB10" i="10" s="1"/>
  <c r="AD10" i="10" s="1"/>
  <c r="U60" i="1"/>
  <c r="Z60" i="1" s="1"/>
  <c r="Y10" i="10"/>
  <c r="U10" i="10"/>
  <c r="W10" i="10" s="1"/>
  <c r="Z10" i="10"/>
  <c r="U9" i="10"/>
  <c r="S11" i="10"/>
  <c r="Y9" i="10"/>
  <c r="Z9" i="10"/>
  <c r="AB9" i="10" s="1"/>
  <c r="AD9" i="10" s="1"/>
  <c r="AA9" i="10"/>
  <c r="Y91" i="1"/>
  <c r="AP78" i="1"/>
  <c r="X91" i="1"/>
  <c r="Z91" i="1"/>
  <c r="W76" i="1"/>
  <c r="X76" i="1" s="1"/>
  <c r="U66" i="1"/>
  <c r="AC66" i="1" s="1"/>
  <c r="AG61" i="1"/>
  <c r="AG67" i="1"/>
  <c r="U68" i="1"/>
  <c r="AB68" i="1" s="1"/>
  <c r="AO78" i="1"/>
  <c r="W81" i="1"/>
  <c r="X81" i="1" s="1"/>
  <c r="AH81" i="1" s="1"/>
  <c r="AP83" i="1"/>
  <c r="W83" i="1"/>
  <c r="X83" i="1" s="1"/>
  <c r="AR74" i="1"/>
  <c r="AQ74" i="1" s="1"/>
  <c r="AS74" i="1" s="1"/>
  <c r="AO77" i="1"/>
  <c r="AP79" i="1"/>
  <c r="AN82" i="1"/>
  <c r="AP77" i="1"/>
  <c r="AP82" i="1"/>
  <c r="W78" i="1"/>
  <c r="X78" i="1" s="1"/>
  <c r="W80" i="1"/>
  <c r="Y80" i="1" s="1"/>
  <c r="AF61" i="1"/>
  <c r="U67" i="1"/>
  <c r="Z67" i="1" s="1"/>
  <c r="AN80" i="1"/>
  <c r="U62" i="1"/>
  <c r="AB62" i="1" s="1"/>
  <c r="AF63" i="1"/>
  <c r="W74" i="1"/>
  <c r="X74" i="1" s="1"/>
  <c r="AG74" i="1" s="1"/>
  <c r="AN76" i="1"/>
  <c r="U64" i="1"/>
  <c r="AC64" i="1" s="1"/>
  <c r="S69" i="1"/>
  <c r="AG63" i="1"/>
  <c r="AH67" i="1"/>
  <c r="AR78" i="1"/>
  <c r="AQ78" i="1" s="1"/>
  <c r="AS78" i="1" s="1"/>
  <c r="AO82" i="1"/>
  <c r="W82" i="1"/>
  <c r="X82" i="1" s="1"/>
  <c r="W77" i="1"/>
  <c r="Y77" i="1" s="1"/>
  <c r="AF65" i="1"/>
  <c r="AN75" i="1"/>
  <c r="AO81" i="1"/>
  <c r="AN84" i="1"/>
  <c r="W84" i="1"/>
  <c r="Y84" i="1" s="1"/>
  <c r="U63" i="1"/>
  <c r="Z63" i="1" s="1"/>
  <c r="AG65" i="1"/>
  <c r="AP75" i="1"/>
  <c r="AR77" i="1"/>
  <c r="AQ77" i="1" s="1"/>
  <c r="AS77" i="1" s="1"/>
  <c r="AN79" i="1"/>
  <c r="AP81" i="1"/>
  <c r="W85" i="1"/>
  <c r="X85" i="1" s="1"/>
  <c r="AH65" i="1"/>
  <c r="AR81" i="1"/>
  <c r="AQ81" i="1" s="1"/>
  <c r="AS81" i="1" s="1"/>
  <c r="AO74" i="1"/>
  <c r="AN83" i="1"/>
  <c r="U65" i="1"/>
  <c r="AC65" i="1" s="1"/>
  <c r="AF67" i="1"/>
  <c r="U86" i="1"/>
  <c r="AP74" i="1"/>
  <c r="AO83" i="1"/>
  <c r="W75" i="1"/>
  <c r="X75" i="1" s="1"/>
  <c r="AQ85" i="1"/>
  <c r="AS85" i="1" s="1"/>
  <c r="AH61" i="1"/>
  <c r="AH63" i="1"/>
  <c r="AO75" i="1"/>
  <c r="AO79" i="1"/>
  <c r="AF60" i="1"/>
  <c r="AF62" i="1"/>
  <c r="AF64" i="1"/>
  <c r="AF66" i="1"/>
  <c r="AF68" i="1"/>
  <c r="AQ75" i="1"/>
  <c r="AS75" i="1" s="1"/>
  <c r="AO76" i="1"/>
  <c r="AQ79" i="1"/>
  <c r="AS79" i="1" s="1"/>
  <c r="AO80" i="1"/>
  <c r="AQ83" i="1"/>
  <c r="AS83" i="1" s="1"/>
  <c r="AO84" i="1"/>
  <c r="AG60" i="1"/>
  <c r="U61" i="1"/>
  <c r="AG62" i="1"/>
  <c r="AG64" i="1"/>
  <c r="AG66" i="1"/>
  <c r="AG68" i="1"/>
  <c r="AP76" i="1"/>
  <c r="AP80" i="1"/>
  <c r="AP84" i="1"/>
  <c r="AN85" i="1"/>
  <c r="AH60" i="1"/>
  <c r="AH62" i="1"/>
  <c r="AH64" i="1"/>
  <c r="AH66" i="1"/>
  <c r="AH68" i="1"/>
  <c r="AQ76" i="1"/>
  <c r="AS76" i="1" s="1"/>
  <c r="AQ80" i="1"/>
  <c r="AS80" i="1" s="1"/>
  <c r="AQ84" i="1"/>
  <c r="AS84" i="1" s="1"/>
  <c r="AO85" i="1"/>
  <c r="AA60" i="1"/>
  <c r="AI60" i="1"/>
  <c r="AK60" i="1" s="1"/>
  <c r="AI62" i="1"/>
  <c r="AK62" i="1" s="1"/>
  <c r="AI64" i="1"/>
  <c r="AK64" i="1" s="1"/>
  <c r="AI66" i="1"/>
  <c r="AK66" i="1" s="1"/>
  <c r="AI68" i="1"/>
  <c r="AK68" i="1" s="1"/>
  <c r="AP85" i="1"/>
  <c r="W50" i="1"/>
  <c r="X50" i="1" s="1"/>
  <c r="AF50" i="1" s="1"/>
  <c r="W40" i="1"/>
  <c r="X40" i="1" s="1"/>
  <c r="AF40" i="1" s="1"/>
  <c r="AH14" i="1"/>
  <c r="U19" i="1"/>
  <c r="AB19" i="1" s="1"/>
  <c r="U13" i="1"/>
  <c r="Z13" i="1" s="1"/>
  <c r="U12" i="1"/>
  <c r="AB12" i="1" s="1"/>
  <c r="AH16" i="1"/>
  <c r="U16" i="1"/>
  <c r="Z16" i="1" s="1"/>
  <c r="U15" i="1"/>
  <c r="AB15" i="1" s="1"/>
  <c r="U14" i="1"/>
  <c r="AC14" i="1" s="1"/>
  <c r="AH12" i="1"/>
  <c r="W43" i="1"/>
  <c r="X43" i="1" s="1"/>
  <c r="AH43" i="1" s="1"/>
  <c r="W42" i="1"/>
  <c r="X42" i="1" s="1"/>
  <c r="AN39" i="1"/>
  <c r="AO39" i="1"/>
  <c r="W39" i="1"/>
  <c r="Y39" i="1" s="1"/>
  <c r="AI39" i="1" s="1"/>
  <c r="U33" i="1"/>
  <c r="Z33" i="1" s="1"/>
  <c r="W51" i="1"/>
  <c r="X51" i="1" s="1"/>
  <c r="W41" i="1"/>
  <c r="Y41" i="1" s="1"/>
  <c r="AP39" i="1"/>
  <c r="U30" i="1"/>
  <c r="AB30" i="1" s="1"/>
  <c r="U29" i="1"/>
  <c r="Z29" i="1" s="1"/>
  <c r="U26" i="1"/>
  <c r="AC26" i="1" s="1"/>
  <c r="AA29" i="1"/>
  <c r="AH18" i="1"/>
  <c r="U18" i="1"/>
  <c r="Z18" i="1" s="1"/>
  <c r="U17" i="1"/>
  <c r="Z17" i="1" s="1"/>
  <c r="AR51" i="1"/>
  <c r="AR50" i="1"/>
  <c r="AR43" i="1"/>
  <c r="AR40" i="1"/>
  <c r="AR41" i="1"/>
  <c r="AR42" i="1"/>
  <c r="AP51" i="1"/>
  <c r="AP50" i="1"/>
  <c r="AP43" i="1"/>
  <c r="AP42" i="1"/>
  <c r="AP41" i="1"/>
  <c r="AP40" i="1"/>
  <c r="AO51" i="1"/>
  <c r="AO50" i="1"/>
  <c r="AO43" i="1"/>
  <c r="AO42" i="1"/>
  <c r="AO41" i="1"/>
  <c r="AO40" i="1"/>
  <c r="U32" i="1"/>
  <c r="Z32" i="1" s="1"/>
  <c r="U31" i="1"/>
  <c r="AC31" i="1" s="1"/>
  <c r="U28" i="1"/>
  <c r="AB28" i="1" s="1"/>
  <c r="U27" i="1"/>
  <c r="AB27" i="1" s="1"/>
  <c r="AG18" i="1"/>
  <c r="AG16" i="1"/>
  <c r="AG14" i="1"/>
  <c r="AG12" i="1"/>
  <c r="AJ19" i="1"/>
  <c r="AI19" i="1" s="1"/>
  <c r="AK19" i="1" s="1"/>
  <c r="AF18" i="1"/>
  <c r="AJ17" i="1"/>
  <c r="AI17" i="1" s="1"/>
  <c r="AK17" i="1" s="1"/>
  <c r="AF16" i="1"/>
  <c r="AJ15" i="1"/>
  <c r="AI15" i="1" s="1"/>
  <c r="AK15" i="1" s="1"/>
  <c r="AF14" i="1"/>
  <c r="AJ13" i="1"/>
  <c r="AI13" i="1" s="1"/>
  <c r="AK13" i="1" s="1"/>
  <c r="AF12" i="1"/>
  <c r="AA13" i="1"/>
  <c r="AH19" i="1"/>
  <c r="AH17" i="1"/>
  <c r="AH15" i="1"/>
  <c r="AH13" i="1"/>
  <c r="AG19" i="1"/>
  <c r="AG17" i="1"/>
  <c r="AG15" i="1"/>
  <c r="AG13" i="1"/>
  <c r="AG32" i="1"/>
  <c r="AG30" i="1"/>
  <c r="AG28" i="1"/>
  <c r="AG26" i="1"/>
  <c r="AJ33" i="1"/>
  <c r="AI33" i="1" s="1"/>
  <c r="AK33" i="1" s="1"/>
  <c r="AF32" i="1"/>
  <c r="AJ31" i="1"/>
  <c r="AI31" i="1" s="1"/>
  <c r="AK31" i="1" s="1"/>
  <c r="AF30" i="1"/>
  <c r="AJ29" i="1"/>
  <c r="AI29" i="1" s="1"/>
  <c r="AK29" i="1" s="1"/>
  <c r="AF28" i="1"/>
  <c r="AJ27" i="1"/>
  <c r="AI27" i="1" s="1"/>
  <c r="AK27" i="1" s="1"/>
  <c r="AF26" i="1"/>
  <c r="AH33" i="1"/>
  <c r="AH31" i="1"/>
  <c r="AH29" i="1"/>
  <c r="AH27" i="1"/>
  <c r="AG33" i="1"/>
  <c r="AG31" i="1"/>
  <c r="AG29" i="1"/>
  <c r="AG27" i="1"/>
  <c r="AJ32" i="1"/>
  <c r="AI32" i="1" s="1"/>
  <c r="AK32" i="1" s="1"/>
  <c r="AJ30" i="1"/>
  <c r="AI30" i="1" s="1"/>
  <c r="AK30" i="1" s="1"/>
  <c r="AJ28" i="1"/>
  <c r="AI28" i="1" s="1"/>
  <c r="AK28" i="1" s="1"/>
  <c r="AJ26" i="1"/>
  <c r="AI26" i="1" s="1"/>
  <c r="AK26" i="1" s="1"/>
  <c r="S34" i="1"/>
  <c r="AF25" i="1"/>
  <c r="AG25" i="1"/>
  <c r="AH25" i="1"/>
  <c r="U25" i="1"/>
  <c r="AA25" i="1" s="1"/>
  <c r="AF11" i="1"/>
  <c r="AG11" i="1"/>
  <c r="AH11" i="1"/>
  <c r="D15" i="12" l="1"/>
  <c r="X12" i="11"/>
  <c r="Z12" i="11" s="1"/>
  <c r="AA12" i="11" s="1"/>
  <c r="X10" i="11"/>
  <c r="Z10" i="11" s="1"/>
  <c r="AA10" i="11" s="1"/>
  <c r="V34" i="10"/>
  <c r="AA91" i="1"/>
  <c r="AC91" i="1" s="1"/>
  <c r="AF79" i="1"/>
  <c r="AH79" i="1"/>
  <c r="AQ42" i="1"/>
  <c r="AS42" i="1" s="1"/>
  <c r="AQ41" i="1"/>
  <c r="AS41" i="1" s="1"/>
  <c r="AQ40" i="1"/>
  <c r="AS40" i="1" s="1"/>
  <c r="AQ43" i="1"/>
  <c r="AS43" i="1" s="1"/>
  <c r="AQ50" i="1"/>
  <c r="AS50" i="1" s="1"/>
  <c r="AQ51" i="1"/>
  <c r="AS51" i="1" s="1"/>
  <c r="AC19" i="14"/>
  <c r="AB16" i="10"/>
  <c r="AD16" i="10" s="1"/>
  <c r="AI25" i="1"/>
  <c r="AK25" i="1" s="1"/>
  <c r="AB11" i="14"/>
  <c r="Z42" i="14"/>
  <c r="AE33" i="14"/>
  <c r="AG33" i="14" s="1"/>
  <c r="X42" i="14"/>
  <c r="AF25" i="14"/>
  <c r="AF20" i="14"/>
  <c r="AC60" i="1"/>
  <c r="Z68" i="1"/>
  <c r="AB60" i="1"/>
  <c r="AC62" i="1"/>
  <c r="AD62" i="1" s="1"/>
  <c r="AL62" i="1" s="1"/>
  <c r="Y79" i="1"/>
  <c r="AJ79" i="1" s="1"/>
  <c r="V26" i="10"/>
  <c r="W9" i="10"/>
  <c r="E46" i="10"/>
  <c r="L40" i="10"/>
  <c r="W16" i="10"/>
  <c r="W18" i="10" s="1"/>
  <c r="H47" i="10" s="1"/>
  <c r="G47" i="10"/>
  <c r="V30" i="10"/>
  <c r="X9" i="11"/>
  <c r="Z9" i="11" s="1"/>
  <c r="AA9" i="11" s="1"/>
  <c r="AD91" i="1"/>
  <c r="V23" i="10"/>
  <c r="V32" i="10"/>
  <c r="V29" i="10"/>
  <c r="V38" i="10"/>
  <c r="V27" i="10"/>
  <c r="V28" i="10"/>
  <c r="V36" i="10"/>
  <c r="V37" i="10"/>
  <c r="V31" i="10"/>
  <c r="V39" i="10"/>
  <c r="V35" i="10"/>
  <c r="V24" i="10"/>
  <c r="V25" i="10"/>
  <c r="V33" i="10"/>
  <c r="N40" i="10"/>
  <c r="AE17" i="10"/>
  <c r="U18" i="10"/>
  <c r="Y81" i="1"/>
  <c r="AJ81" i="1" s="1"/>
  <c r="Z62" i="1"/>
  <c r="AC68" i="1"/>
  <c r="AD68" i="1" s="1"/>
  <c r="AL68" i="1" s="1"/>
  <c r="AG81" i="1"/>
  <c r="Y78" i="1"/>
  <c r="AI78" i="1" s="1"/>
  <c r="Y76" i="1"/>
  <c r="AK76" i="1" s="1"/>
  <c r="U11" i="10"/>
  <c r="Z15" i="1"/>
  <c r="E119" i="1"/>
  <c r="D10" i="12" s="1"/>
  <c r="AB67" i="1"/>
  <c r="AC67" i="1"/>
  <c r="Z64" i="1"/>
  <c r="AF81" i="1"/>
  <c r="Z66" i="1"/>
  <c r="Z65" i="1"/>
  <c r="AB66" i="1"/>
  <c r="AD66" i="1" s="1"/>
  <c r="AL66" i="1" s="1"/>
  <c r="Y85" i="1"/>
  <c r="AK85" i="1" s="1"/>
  <c r="X77" i="1"/>
  <c r="AG77" i="1" s="1"/>
  <c r="AB65" i="1"/>
  <c r="AD65" i="1" s="1"/>
  <c r="AL65" i="1" s="1"/>
  <c r="Y83" i="1"/>
  <c r="AK83" i="1" s="1"/>
  <c r="Y82" i="1"/>
  <c r="AI82" i="1" s="1"/>
  <c r="Y75" i="1"/>
  <c r="AJ75" i="1" s="1"/>
  <c r="Y74" i="1"/>
  <c r="AF78" i="1"/>
  <c r="AH78" i="1"/>
  <c r="AG78" i="1"/>
  <c r="AB64" i="1"/>
  <c r="AD64" i="1" s="1"/>
  <c r="AL64" i="1" s="1"/>
  <c r="AH74" i="1"/>
  <c r="X80" i="1"/>
  <c r="AG80" i="1" s="1"/>
  <c r="AF74" i="1"/>
  <c r="X84" i="1"/>
  <c r="AB63" i="1"/>
  <c r="AC63" i="1"/>
  <c r="W86" i="1"/>
  <c r="AG85" i="1"/>
  <c r="AF85" i="1"/>
  <c r="AH85" i="1"/>
  <c r="AK84" i="1"/>
  <c r="AJ84" i="1"/>
  <c r="AI84" i="1"/>
  <c r="AI80" i="1"/>
  <c r="AJ80" i="1"/>
  <c r="AK80" i="1"/>
  <c r="AJ77" i="1"/>
  <c r="AI77" i="1"/>
  <c r="AK77" i="1"/>
  <c r="AF83" i="1"/>
  <c r="AG83" i="1"/>
  <c r="AH83" i="1"/>
  <c r="AF75" i="1"/>
  <c r="AG75" i="1"/>
  <c r="AH75" i="1"/>
  <c r="AH76" i="1"/>
  <c r="AF76" i="1"/>
  <c r="AG76" i="1"/>
  <c r="AF82" i="1"/>
  <c r="AG82" i="1"/>
  <c r="AH82" i="1"/>
  <c r="AA69" i="1"/>
  <c r="AC61" i="1"/>
  <c r="AB61" i="1"/>
  <c r="U69" i="1"/>
  <c r="Z61" i="1"/>
  <c r="AB29" i="1"/>
  <c r="AH40" i="1"/>
  <c r="Y50" i="1"/>
  <c r="AJ50" i="1" s="1"/>
  <c r="AC13" i="1"/>
  <c r="X41" i="1"/>
  <c r="AH41" i="1" s="1"/>
  <c r="AC15" i="1"/>
  <c r="AC17" i="1"/>
  <c r="AB13" i="1"/>
  <c r="AH50" i="1"/>
  <c r="AG50" i="1"/>
  <c r="AC16" i="1"/>
  <c r="AB17" i="1"/>
  <c r="AG40" i="1"/>
  <c r="AC33" i="1"/>
  <c r="AF27" i="14" s="1"/>
  <c r="Z12" i="1"/>
  <c r="AB16" i="1"/>
  <c r="AC12" i="1"/>
  <c r="Y40" i="1"/>
  <c r="AK40" i="1" s="1"/>
  <c r="Z27" i="1"/>
  <c r="AC29" i="1"/>
  <c r="AF23" i="14" s="1"/>
  <c r="AC27" i="1"/>
  <c r="Z14" i="1"/>
  <c r="Y43" i="1"/>
  <c r="AJ43" i="1" s="1"/>
  <c r="AB14" i="1"/>
  <c r="AD14" i="1" s="1"/>
  <c r="AL14" i="1" s="1"/>
  <c r="AB26" i="1"/>
  <c r="AD26" i="1" s="1"/>
  <c r="AL26" i="1" s="1"/>
  <c r="Z30" i="1"/>
  <c r="AB18" i="1"/>
  <c r="AC30" i="1"/>
  <c r="AD30" i="1" s="1"/>
  <c r="AL30" i="1" s="1"/>
  <c r="AF43" i="1"/>
  <c r="AG43" i="1"/>
  <c r="AB33" i="1"/>
  <c r="AC18" i="1"/>
  <c r="AC19" i="1"/>
  <c r="Z19" i="1"/>
  <c r="AC28" i="1"/>
  <c r="Y51" i="1"/>
  <c r="AK51" i="1" s="1"/>
  <c r="Y42" i="1"/>
  <c r="AI42" i="1" s="1"/>
  <c r="Z28" i="1"/>
  <c r="AH42" i="1"/>
  <c r="AG42" i="1"/>
  <c r="AF42" i="1"/>
  <c r="AA34" i="1"/>
  <c r="AF51" i="1"/>
  <c r="AG51" i="1"/>
  <c r="AH51" i="1"/>
  <c r="AI41" i="1"/>
  <c r="AJ41" i="1"/>
  <c r="AK41" i="1"/>
  <c r="X39" i="1"/>
  <c r="Z26" i="1"/>
  <c r="AK39" i="1"/>
  <c r="AJ39" i="1"/>
  <c r="AB31" i="1"/>
  <c r="AD31" i="1" s="1"/>
  <c r="AL31" i="1" s="1"/>
  <c r="AC32" i="1"/>
  <c r="AB32" i="1"/>
  <c r="Z31" i="1"/>
  <c r="AC25" i="1"/>
  <c r="AB25" i="1"/>
  <c r="Z25" i="1"/>
  <c r="U34" i="1"/>
  <c r="AI11" i="1"/>
  <c r="AK11" i="1" s="1"/>
  <c r="AE19" i="14" l="1"/>
  <c r="G65" i="14" s="1"/>
  <c r="F66" i="14" s="1"/>
  <c r="AK79" i="1"/>
  <c r="AL79" i="1" s="1"/>
  <c r="AT79" i="1" s="1"/>
  <c r="AI83" i="1"/>
  <c r="AF41" i="1"/>
  <c r="AI79" i="1"/>
  <c r="AJ83" i="1"/>
  <c r="AL83" i="1" s="1"/>
  <c r="AT83" i="1" s="1"/>
  <c r="AC13" i="14"/>
  <c r="AJ11" i="15"/>
  <c r="AD12" i="1"/>
  <c r="AL12" i="1" s="1"/>
  <c r="AJ10" i="15"/>
  <c r="AD15" i="1"/>
  <c r="AL15" i="1" s="1"/>
  <c r="AH41" i="14"/>
  <c r="AH35" i="14"/>
  <c r="AF19" i="14"/>
  <c r="AH40" i="14"/>
  <c r="AF26" i="14"/>
  <c r="AD60" i="1"/>
  <c r="AL60" i="1" s="1"/>
  <c r="AC12" i="14"/>
  <c r="AD19" i="1"/>
  <c r="AL19" i="1" s="1"/>
  <c r="AF22" i="14"/>
  <c r="AF24" i="14"/>
  <c r="AD27" i="1"/>
  <c r="AL27" i="1" s="1"/>
  <c r="AF21" i="14"/>
  <c r="I12" i="12"/>
  <c r="D14" i="12"/>
  <c r="D17" i="12" s="1"/>
  <c r="I17" i="12"/>
  <c r="F47" i="10"/>
  <c r="G12" i="12" s="1"/>
  <c r="H12" i="12"/>
  <c r="H13" i="12" s="1"/>
  <c r="H18" i="12" s="1"/>
  <c r="F46" i="10"/>
  <c r="G11" i="12" s="1"/>
  <c r="D11" i="12"/>
  <c r="G48" i="10"/>
  <c r="AE16" i="10"/>
  <c r="AD18" i="10" s="1"/>
  <c r="AE18" i="10" s="1"/>
  <c r="H119" i="1"/>
  <c r="I10" i="12" s="1"/>
  <c r="U40" i="10"/>
  <c r="V40" i="10" s="1"/>
  <c r="AK78" i="1"/>
  <c r="AE9" i="10"/>
  <c r="AE10" i="10"/>
  <c r="AD67" i="1"/>
  <c r="AL67" i="1" s="1"/>
  <c r="AI81" i="1"/>
  <c r="AJ78" i="1"/>
  <c r="AF80" i="1"/>
  <c r="AK81" i="1"/>
  <c r="AL81" i="1" s="1"/>
  <c r="AT81" i="1" s="1"/>
  <c r="AC112" i="1"/>
  <c r="AD112" i="1" s="1"/>
  <c r="AK82" i="1"/>
  <c r="AB69" i="1"/>
  <c r="AH80" i="1"/>
  <c r="AI76" i="1"/>
  <c r="AJ76" i="1"/>
  <c r="AL76" i="1" s="1"/>
  <c r="AT76" i="1" s="1"/>
  <c r="AH77" i="1"/>
  <c r="AD28" i="1"/>
  <c r="AF77" i="1"/>
  <c r="AD63" i="1"/>
  <c r="AL63" i="1" s="1"/>
  <c r="Z69" i="1"/>
  <c r="AI85" i="1"/>
  <c r="AJ85" i="1"/>
  <c r="AL85" i="1" s="1"/>
  <c r="AT85" i="1" s="1"/>
  <c r="AJ82" i="1"/>
  <c r="Y86" i="1"/>
  <c r="AI75" i="1"/>
  <c r="AK75" i="1"/>
  <c r="AL75" i="1" s="1"/>
  <c r="AT75" i="1" s="1"/>
  <c r="X86" i="1"/>
  <c r="AJ74" i="1"/>
  <c r="AI74" i="1"/>
  <c r="AK74" i="1"/>
  <c r="AG84" i="1"/>
  <c r="AG86" i="1" s="1"/>
  <c r="AH84" i="1"/>
  <c r="AF84" i="1"/>
  <c r="AD61" i="1"/>
  <c r="AL61" i="1" s="1"/>
  <c r="AC69" i="1"/>
  <c r="AD29" i="1"/>
  <c r="AL29" i="1" s="1"/>
  <c r="AD17" i="1"/>
  <c r="AL17" i="1" s="1"/>
  <c r="AD16" i="1"/>
  <c r="AL16" i="1" s="1"/>
  <c r="AD13" i="1"/>
  <c r="AL13" i="1" s="1"/>
  <c r="AI50" i="1"/>
  <c r="AG41" i="1"/>
  <c r="AK50" i="1"/>
  <c r="AL50" i="1" s="1"/>
  <c r="AT50" i="1" s="1"/>
  <c r="AI40" i="1"/>
  <c r="AD33" i="1"/>
  <c r="AL33" i="1" s="1"/>
  <c r="AD18" i="1"/>
  <c r="AL18" i="1" s="1"/>
  <c r="AJ40" i="1"/>
  <c r="AK43" i="1"/>
  <c r="AL43" i="1" s="1"/>
  <c r="AT43" i="1" s="1"/>
  <c r="AJ51" i="1"/>
  <c r="AL51" i="1" s="1"/>
  <c r="AT51" i="1" s="1"/>
  <c r="AI43" i="1"/>
  <c r="AI51" i="1"/>
  <c r="AK42" i="1"/>
  <c r="AJ42" i="1"/>
  <c r="AF39" i="1"/>
  <c r="AH39" i="1"/>
  <c r="AG39" i="1"/>
  <c r="AD32" i="1"/>
  <c r="AL32" i="1" s="1"/>
  <c r="Z34" i="1"/>
  <c r="AB34" i="1"/>
  <c r="AC34" i="1"/>
  <c r="AD25" i="1"/>
  <c r="J16" i="12" l="1"/>
  <c r="AL39" i="1"/>
  <c r="AL40" i="1"/>
  <c r="AT40" i="1" s="1"/>
  <c r="AL41" i="1"/>
  <c r="AT41" i="1" s="1"/>
  <c r="AH39" i="14"/>
  <c r="AH36" i="14"/>
  <c r="AH37" i="14"/>
  <c r="AG28" i="14"/>
  <c r="AH34" i="14"/>
  <c r="AH38" i="14"/>
  <c r="AH33" i="14"/>
  <c r="L14" i="12"/>
  <c r="G13" i="12"/>
  <c r="G18" i="12" s="1"/>
  <c r="I47" i="10"/>
  <c r="L12" i="12" s="1"/>
  <c r="M12" i="12" s="1"/>
  <c r="I119" i="1"/>
  <c r="AH86" i="1"/>
  <c r="AL78" i="1"/>
  <c r="AT78" i="1" s="1"/>
  <c r="AL80" i="1"/>
  <c r="AT80" i="1" s="1"/>
  <c r="AF86" i="1"/>
  <c r="E118" i="1" s="1"/>
  <c r="AL77" i="1"/>
  <c r="AT77" i="1" s="1"/>
  <c r="AL82" i="1"/>
  <c r="AT82" i="1" s="1"/>
  <c r="H46" i="10"/>
  <c r="I11" i="12" s="1"/>
  <c r="E48" i="10"/>
  <c r="AL28" i="1"/>
  <c r="AJ86" i="1"/>
  <c r="F118" i="1" s="1"/>
  <c r="AI86" i="1"/>
  <c r="E126" i="1" s="1"/>
  <c r="D25" i="12" s="1"/>
  <c r="AK86" i="1"/>
  <c r="AL74" i="1"/>
  <c r="AT74" i="1" s="1"/>
  <c r="AL84" i="1"/>
  <c r="AT84" i="1" s="1"/>
  <c r="AD69" i="1"/>
  <c r="AL42" i="1"/>
  <c r="AT42" i="1" s="1"/>
  <c r="AQ39" i="1"/>
  <c r="AS39" i="1" s="1"/>
  <c r="AL25" i="1"/>
  <c r="AD34" i="1"/>
  <c r="AA42" i="14" l="1"/>
  <c r="AE42" i="14" s="1"/>
  <c r="AF42" i="14" s="1"/>
  <c r="J119" i="1"/>
  <c r="L10" i="12"/>
  <c r="M10" i="12" s="1"/>
  <c r="J17" i="12"/>
  <c r="J15" i="12"/>
  <c r="J14" i="12"/>
  <c r="M14" i="12"/>
  <c r="G118" i="1"/>
  <c r="AD11" i="10"/>
  <c r="AE11" i="10" s="1"/>
  <c r="I46" i="10" s="1"/>
  <c r="L11" i="12" s="1"/>
  <c r="M11" i="12" s="1"/>
  <c r="H48" i="10"/>
  <c r="F48" i="10"/>
  <c r="AK69" i="1"/>
  <c r="AL69" i="1" s="1"/>
  <c r="AL86" i="1"/>
  <c r="AS86" i="1" s="1"/>
  <c r="AT86" i="1" s="1"/>
  <c r="AT39" i="1"/>
  <c r="AK34" i="1"/>
  <c r="AL34" i="1" s="1"/>
  <c r="H118" i="1" l="1"/>
  <c r="J46" i="10" l="1"/>
  <c r="J47" i="10"/>
  <c r="I118" i="1"/>
  <c r="J118" i="1" l="1"/>
  <c r="I48" i="10"/>
  <c r="Y11" i="1" l="1"/>
  <c r="X11" i="1"/>
  <c r="W11" i="1"/>
  <c r="V11" i="1"/>
  <c r="T11" i="1"/>
  <c r="S11" i="1"/>
  <c r="AL52" i="1"/>
  <c r="AK52" i="1"/>
  <c r="AJ52" i="1"/>
  <c r="AI52" i="1"/>
  <c r="AH52" i="1"/>
  <c r="AG52" i="1"/>
  <c r="AF52" i="1"/>
  <c r="Y52" i="1"/>
  <c r="X52" i="1"/>
  <c r="W52" i="1"/>
  <c r="U52" i="1"/>
  <c r="AS52" i="1" l="1"/>
  <c r="AT52" i="1" s="1"/>
  <c r="S20" i="1"/>
  <c r="U11" i="1"/>
  <c r="AA11" i="1" s="1"/>
  <c r="U20" i="1" l="1"/>
  <c r="AB11" i="1"/>
  <c r="Z11" i="1"/>
  <c r="AC11" i="1"/>
  <c r="AA20" i="1"/>
  <c r="E117" i="1" s="1"/>
  <c r="AD11" i="1" l="1"/>
  <c r="AB13" i="15"/>
  <c r="AJ9" i="15"/>
  <c r="AC20" i="1"/>
  <c r="G117" i="1" s="1"/>
  <c r="F9" i="12" s="1"/>
  <c r="F13" i="12" s="1"/>
  <c r="F18" i="12" s="1"/>
  <c r="D37" i="12" s="1"/>
  <c r="E37" i="12" s="1"/>
  <c r="E120" i="1"/>
  <c r="D9" i="12"/>
  <c r="D13" i="12" s="1"/>
  <c r="D18" i="12" s="1"/>
  <c r="Z20" i="1"/>
  <c r="E125" i="1" s="1"/>
  <c r="AB20" i="1"/>
  <c r="F117" i="1" s="1"/>
  <c r="D35" i="12" l="1"/>
  <c r="E35" i="12" s="1"/>
  <c r="AI13" i="15"/>
  <c r="AJ13" i="15" s="1"/>
  <c r="G120" i="1"/>
  <c r="AC11" i="14"/>
  <c r="AB14" i="14" s="1"/>
  <c r="F120" i="1"/>
  <c r="E9" i="12"/>
  <c r="E13" i="12" s="1"/>
  <c r="E18" i="12" s="1"/>
  <c r="D36" i="12" s="1"/>
  <c r="E36" i="12" s="1"/>
  <c r="E127" i="1"/>
  <c r="D24" i="12"/>
  <c r="AL11" i="1"/>
  <c r="AD20" i="1"/>
  <c r="H117" i="1" s="1"/>
  <c r="I9" i="12" s="1"/>
  <c r="E40" i="12" l="1"/>
  <c r="F38" i="12" s="1"/>
  <c r="AC14" i="14"/>
  <c r="M15" i="12" s="1"/>
  <c r="D26" i="12"/>
  <c r="D29" i="12" s="1"/>
  <c r="I13" i="12"/>
  <c r="H120" i="1"/>
  <c r="AK20" i="1"/>
  <c r="AL20" i="1" s="1"/>
  <c r="I117" i="1" s="1"/>
  <c r="F39" i="12" l="1"/>
  <c r="F35" i="12"/>
  <c r="F36" i="12"/>
  <c r="F37" i="12"/>
  <c r="L17" i="12"/>
  <c r="M17" i="12" s="1"/>
  <c r="J117" i="1"/>
  <c r="I120" i="1" s="1"/>
  <c r="L9" i="12"/>
  <c r="M9" i="12" s="1"/>
  <c r="I18" i="12"/>
  <c r="J13" i="12"/>
  <c r="J10" i="12"/>
  <c r="J12" i="12"/>
  <c r="J11" i="12"/>
  <c r="J9" i="12"/>
  <c r="K16" i="12" l="1"/>
  <c r="K17" i="12"/>
  <c r="F40" i="12"/>
  <c r="L13" i="12"/>
  <c r="M13" i="12" s="1"/>
  <c r="L18" i="12" s="1"/>
  <c r="K13" i="12"/>
  <c r="J18" i="12"/>
  <c r="K15" i="12"/>
  <c r="K21" i="12" s="1"/>
  <c r="K10" i="12"/>
  <c r="K11" i="12"/>
  <c r="K12" i="12"/>
  <c r="K18" i="12"/>
  <c r="K14" i="12"/>
  <c r="K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Analista Cali</author>
  </authors>
  <commentList>
    <comment ref="E9" authorId="0" shapeId="0" xr:uid="{B9E2E276-99A7-452B-A3F8-6BC43F228386}">
      <text>
        <r>
          <rPr>
            <b/>
            <sz val="9"/>
            <color indexed="81"/>
            <rFont val="Tahoma"/>
            <charset val="1"/>
          </rPr>
          <t>Analista Cali:</t>
        </r>
        <r>
          <rPr>
            <sz val="9"/>
            <color indexed="81"/>
            <rFont val="Tahoma"/>
            <charset val="1"/>
          </rPr>
          <t xml:space="preserve">
Biosanitarios esterilizados y llevados a relleno sanitario
</t>
        </r>
      </text>
    </comment>
    <comment ref="E11" authorId="0" shapeId="0" xr:uid="{C827765D-5A7A-4BF0-A746-8D947A7592B7}">
      <text>
        <r>
          <rPr>
            <b/>
            <sz val="9"/>
            <color indexed="81"/>
            <rFont val="Tahoma"/>
            <charset val="1"/>
          </rPr>
          <t>Analista Cali:</t>
        </r>
        <r>
          <rPr>
            <sz val="9"/>
            <color indexed="81"/>
            <rFont val="Tahoma"/>
            <charset val="1"/>
          </rPr>
          <t xml:space="preserve">
Animales</t>
        </r>
      </text>
    </comment>
    <comment ref="E12" authorId="0" shapeId="0" xr:uid="{1D50C590-FFBC-404B-95A1-B60D4A42E231}">
      <text>
        <r>
          <rPr>
            <b/>
            <sz val="9"/>
            <color indexed="81"/>
            <rFont val="Tahoma"/>
            <charset val="1"/>
          </rPr>
          <t>Analista Cali:</t>
        </r>
        <r>
          <rPr>
            <sz val="9"/>
            <color indexed="81"/>
            <rFont val="Tahoma"/>
            <charset val="1"/>
          </rPr>
          <t xml:space="preserve">
anatomopatologicos</t>
        </r>
      </text>
    </comment>
  </commentList>
</comments>
</file>

<file path=xl/sharedStrings.xml><?xml version="1.0" encoding="utf-8"?>
<sst xmlns="http://schemas.openxmlformats.org/spreadsheetml/2006/main" count="1404" uniqueCount="478">
  <si>
    <t>CALCULADORA EMISIONES GEI - CO2CERO SAS</t>
  </si>
  <si>
    <t>1.1</t>
  </si>
  <si>
    <t>Emisiones Directas - Fuentes fijas</t>
  </si>
  <si>
    <t>A</t>
  </si>
  <si>
    <t>Combustibles sólidos</t>
  </si>
  <si>
    <t>Diligencie el dato de consumo mensual</t>
  </si>
  <si>
    <t>Sede (diligencie)</t>
  </si>
  <si>
    <t>Fuente (diligencie)</t>
  </si>
  <si>
    <t>Combustible (Seleccione)</t>
  </si>
  <si>
    <t>Unidad (Seleccione)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</si>
  <si>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</si>
  <si>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</si>
  <si>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</si>
  <si>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</si>
  <si>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</si>
  <si>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</si>
  <si>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</si>
  <si>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</si>
  <si>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</si>
  <si>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</si>
  <si>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</si>
  <si>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</si>
  <si>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(unidad seleccionada)</t>
  </si>
  <si>
    <t>Factor conversión</t>
  </si>
  <si>
    <t>Total (t)</t>
  </si>
  <si>
    <t>F.E. kgCO2/t</t>
  </si>
  <si>
    <t>F.E. kgCH4/t</t>
  </si>
  <si>
    <t>F.E. kgN2O/t</t>
  </si>
  <si>
    <t>¿Es biomasa?</t>
  </si>
  <si>
    <t>Total (tCO2) bio</t>
  </si>
  <si>
    <t>Total (tCO2) fósil</t>
  </si>
  <si>
    <t>Total (tCH4)</t>
  </si>
  <si>
    <t>Total (tN2O)</t>
  </si>
  <si>
    <t>Total (tCO2e)</t>
  </si>
  <si>
    <t>No. Datos</t>
  </si>
  <si>
    <t>Promedio</t>
  </si>
  <si>
    <t>Desviación estándar</t>
  </si>
  <si>
    <t>Factor T</t>
  </si>
  <si>
    <t>Incertidumbre</t>
  </si>
  <si>
    <t>Incertidumbre F.E.</t>
  </si>
  <si>
    <t>Incertidumbre de la fuente</t>
  </si>
  <si>
    <t>Cálculo</t>
  </si>
  <si>
    <t>B</t>
  </si>
  <si>
    <t>Combustibles gaseosos</t>
  </si>
  <si>
    <t>Diligencie el dato de consumo mensual. Si selecciona GLP por peso, seleccione la unidad en kilogramos.</t>
  </si>
  <si>
    <t>Total (m3)</t>
  </si>
  <si>
    <t>F.E. kgCO2/m3</t>
  </si>
  <si>
    <t>F.E. kgCH4/m3</t>
  </si>
  <si>
    <t>F.E. kgN2O/m3</t>
  </si>
  <si>
    <t>C</t>
  </si>
  <si>
    <t>Combustibles líquidos</t>
  </si>
  <si>
    <t>Diligencie el dato de consumo mensual. Indique el porcentaje fósil del combustible.</t>
  </si>
  <si>
    <t>Fósil</t>
  </si>
  <si>
    <t>Bio</t>
  </si>
  <si>
    <t>Combustible fósil
(Seleccione)</t>
  </si>
  <si>
    <t>Combustible biogénico
(Seleccione)</t>
  </si>
  <si>
    <t>Porcentaje combustible fósil (diligencie)</t>
  </si>
  <si>
    <t>Total combustible (galón)</t>
  </si>
  <si>
    <t>Total % fósil</t>
  </si>
  <si>
    <t>Total % biogénico</t>
  </si>
  <si>
    <t>FE kgCO2/gal</t>
  </si>
  <si>
    <t>FE kgCH4/gal</t>
  </si>
  <si>
    <t>FE kgN2O/gal</t>
  </si>
  <si>
    <t>Total (tCO2)</t>
  </si>
  <si>
    <t xml:space="preserve">Ciudadela Universitaria </t>
  </si>
  <si>
    <t>Corta Setos</t>
  </si>
  <si>
    <t>Gasolina Motor</t>
  </si>
  <si>
    <t>Etanol Anhidro</t>
  </si>
  <si>
    <t>gal</t>
  </si>
  <si>
    <t>Sopladora</t>
  </si>
  <si>
    <t>Guadañas</t>
  </si>
  <si>
    <t>Corta Cesped</t>
  </si>
  <si>
    <t>MotoBomba de Riego</t>
  </si>
  <si>
    <t>Diesel</t>
  </si>
  <si>
    <t>Biodiesel palma</t>
  </si>
  <si>
    <t>Planta DataCenter</t>
  </si>
  <si>
    <t>Granja El Vijal</t>
  </si>
  <si>
    <t xml:space="preserve">Granja Tres Esquinas </t>
  </si>
  <si>
    <t>Motosierra de espada</t>
  </si>
  <si>
    <t>Motosierra de altura</t>
  </si>
  <si>
    <t>Bomba de Motor (espalda)</t>
  </si>
  <si>
    <t>1.2</t>
  </si>
  <si>
    <t>Emisiones Directas - Fuentes móviles</t>
  </si>
  <si>
    <t>1.3</t>
  </si>
  <si>
    <t>Emisiones Directas - Otros consumos</t>
  </si>
  <si>
    <t>Espacio para reportar grasas, lubricantes o quema de acetileno</t>
  </si>
  <si>
    <t>Sede</t>
  </si>
  <si>
    <t>Fuente</t>
  </si>
  <si>
    <t>Consumible</t>
  </si>
  <si>
    <t>Unidad</t>
  </si>
  <si>
    <t>Total consumo</t>
  </si>
  <si>
    <t>tCO2</t>
  </si>
  <si>
    <t>Ciudadela Universitaria</t>
  </si>
  <si>
    <t>Aceites lubricantes</t>
  </si>
  <si>
    <t>Grasa Lubricante</t>
  </si>
  <si>
    <t>Hidrolavadora</t>
  </si>
  <si>
    <t>Granja Tres Esquinas</t>
  </si>
  <si>
    <t>Resultados Emisiones Directas - Combustibles</t>
  </si>
  <si>
    <t>#</t>
  </si>
  <si>
    <t>Categoría</t>
  </si>
  <si>
    <t>tCH4</t>
  </si>
  <si>
    <t>tN2O</t>
  </si>
  <si>
    <t>tCO2e</t>
  </si>
  <si>
    <t>Cálculo auxiliar</t>
  </si>
  <si>
    <t>Fuentes fijas</t>
  </si>
  <si>
    <t>Fuentes móviles</t>
  </si>
  <si>
    <t>Otros Consumos</t>
  </si>
  <si>
    <t>Total</t>
  </si>
  <si>
    <t>Resultados Emisiones Directas Biogénicas - Combustibles</t>
  </si>
  <si>
    <t>1.4</t>
  </si>
  <si>
    <t>Extintores</t>
  </si>
  <si>
    <t>Diligencie el dato de gas recargado</t>
  </si>
  <si>
    <t>Gas (Seleccione)</t>
  </si>
  <si>
    <t>PCG</t>
  </si>
  <si>
    <t>Extintor 5L</t>
  </si>
  <si>
    <t>CO2</t>
  </si>
  <si>
    <t>Libras</t>
  </si>
  <si>
    <t>Extintor 10L</t>
  </si>
  <si>
    <t>1.5</t>
  </si>
  <si>
    <t xml:space="preserve">Fugas de gases refrigerantes </t>
  </si>
  <si>
    <t xml:space="preserve">Método 1. Sí conoce la fuga de los equipos, diligencie el dato de pérdidas de gases refrigerantes </t>
  </si>
  <si>
    <t xml:space="preserve">Aires acondicionado  inverte </t>
  </si>
  <si>
    <t>HFC-410a / R-410A</t>
  </si>
  <si>
    <t>Aires acondicionado  convencional</t>
  </si>
  <si>
    <t>R22</t>
  </si>
  <si>
    <t>Método 2. Sí desconoce la fuga de los equipos, seleccione el tipo de equipo a reportar y la capacidad de gas refrigerante.</t>
  </si>
  <si>
    <t>Capacidad de carga de gas refrigerante</t>
  </si>
  <si>
    <t>Tipo de equipo (Seleccione)</t>
  </si>
  <si>
    <t>Total carga refrigerante (t)</t>
  </si>
  <si>
    <t>Pérdida estimada por IPCC (%)</t>
  </si>
  <si>
    <t>Pérdida calculada (t)</t>
  </si>
  <si>
    <t>Resultados Emisiones Directas - Extintores y refrigerantes</t>
  </si>
  <si>
    <t>tHCFC-HFC</t>
  </si>
  <si>
    <t>tSF6</t>
  </si>
  <si>
    <t>Gases refrigerantes</t>
  </si>
  <si>
    <t>Energia electrica</t>
  </si>
  <si>
    <t>Año de referencia (Seleccione)</t>
  </si>
  <si>
    <t>Enero (kWh)</t>
  </si>
  <si>
    <t>Febrero (kWh)</t>
  </si>
  <si>
    <t>Marzo (kWh)</t>
  </si>
  <si>
    <t>Abril (kWh)</t>
  </si>
  <si>
    <t>Mayo (kWh)</t>
  </si>
  <si>
    <t>Junio (kWh)</t>
  </si>
  <si>
    <t>Julio (kWh)</t>
  </si>
  <si>
    <t>Agosto (kWh)</t>
  </si>
  <si>
    <t>Septiembre (kWh)</t>
  </si>
  <si>
    <t>Octubre (kWh)</t>
  </si>
  <si>
    <t>Noviembre (kWh)</t>
  </si>
  <si>
    <t>Diciembre (kWh)</t>
  </si>
  <si>
    <t>Total (kWh)</t>
  </si>
  <si>
    <t>F.E. kgCO2e/kWh</t>
  </si>
  <si>
    <t>Sede Centro</t>
  </si>
  <si>
    <t xml:space="preserve">Granja El Vijal </t>
  </si>
  <si>
    <t>1.6.1</t>
  </si>
  <si>
    <t>Tratamiento Aguas Residuales Domésticas</t>
  </si>
  <si>
    <t>Diligencie el dato de caudal y de DBO</t>
  </si>
  <si>
    <t>Tipo de tratamiento (Seleccione)</t>
  </si>
  <si>
    <t>Unidades</t>
  </si>
  <si>
    <t>Total kg DBO año</t>
  </si>
  <si>
    <t>Factor emisión kgCH4/kgDBO</t>
  </si>
  <si>
    <t>Total CH4(t)</t>
  </si>
  <si>
    <t>kgDBO/m3</t>
  </si>
  <si>
    <t>m3/mes</t>
  </si>
  <si>
    <t>m3/año</t>
  </si>
  <si>
    <t>1.6.2</t>
  </si>
  <si>
    <t>Tratamiento Aguas Residuales Industriales</t>
  </si>
  <si>
    <t>Diligencie el dato de caudal y de DQO</t>
  </si>
  <si>
    <t>Factor emisión kgCH4/kgDQO</t>
  </si>
  <si>
    <t>Tratamiento aeróbico bien operado</t>
  </si>
  <si>
    <t>kgDQO/m3</t>
  </si>
  <si>
    <t>Auxiliar</t>
  </si>
  <si>
    <t>ARD</t>
  </si>
  <si>
    <t>ARI</t>
  </si>
  <si>
    <t>Transporte tercerizado</t>
  </si>
  <si>
    <t>Movilidad colaboradores</t>
  </si>
  <si>
    <t>Diligencie el dato de km mensual</t>
  </si>
  <si>
    <t>Modalidad transporte (Seleccione)</t>
  </si>
  <si>
    <t>Tipo de vehiculo (Seleccione)</t>
  </si>
  <si>
    <t>Pasajeros</t>
  </si>
  <si>
    <t>Total (km)</t>
  </si>
  <si>
    <t>F.E. kgCO2e/km</t>
  </si>
  <si>
    <t>Ruta</t>
  </si>
  <si>
    <t>Taxi</t>
  </si>
  <si>
    <t xml:space="preserve">Transporte tercerizado terrestre aguas arriba y aguas abajo. </t>
  </si>
  <si>
    <t xml:space="preserve">Diligencie el dato de km y peso de aguas arriba y aguas abajo mensual </t>
  </si>
  <si>
    <t>Tipo de actividad (Seleccione)</t>
  </si>
  <si>
    <t>Ruta establecida (diligencie)</t>
  </si>
  <si>
    <t>Distancia recorrida total (km)</t>
  </si>
  <si>
    <t>Total (Ton)</t>
  </si>
  <si>
    <t>F.E tCO2e/Ton*km</t>
  </si>
  <si>
    <t>Importación y exportación áerea y maritima</t>
  </si>
  <si>
    <t xml:space="preserve">Diligencie el dato en peso y distancia de importación y/o exportación mensual. </t>
  </si>
  <si>
    <t>Modalidad de transporte
(Seleccione)</t>
  </si>
  <si>
    <t>Tipo de viaje
(Seleccione)</t>
  </si>
  <si>
    <t>Distancia recorrida (km) (diligencie)</t>
  </si>
  <si>
    <t>F.E tCO2e/ton*km</t>
  </si>
  <si>
    <t>Movilidad colaboradores - Viajes corporativos</t>
  </si>
  <si>
    <t>Diligencie el dato de ruta, pasajeros y clase</t>
  </si>
  <si>
    <t>Tipo de viaje</t>
  </si>
  <si>
    <t>Ruta establecida origen (diligencie)</t>
  </si>
  <si>
    <t>Ruta establecida Destino (diligencie)</t>
  </si>
  <si>
    <t>Clase</t>
  </si>
  <si>
    <t>Número de pasajeros</t>
  </si>
  <si>
    <t>KgCO2e/Pasajero</t>
  </si>
  <si>
    <t>Nacional</t>
  </si>
  <si>
    <t>CLO</t>
  </si>
  <si>
    <t>BOG</t>
  </si>
  <si>
    <t>Económica</t>
  </si>
  <si>
    <t>Internacional</t>
  </si>
  <si>
    <t>MADRID</t>
  </si>
  <si>
    <t>MALAGA</t>
  </si>
  <si>
    <t xml:space="preserve">CLO </t>
  </si>
  <si>
    <t>cucu</t>
  </si>
  <si>
    <t>bog</t>
  </si>
  <si>
    <t>cali</t>
  </si>
  <si>
    <t>med</t>
  </si>
  <si>
    <t>MED</t>
  </si>
  <si>
    <t>CUCU</t>
  </si>
  <si>
    <t>BUCAR</t>
  </si>
  <si>
    <t>Residuos sólidos</t>
  </si>
  <si>
    <t>Diligencie el dato de disposición de residos sólidos mensual</t>
  </si>
  <si>
    <t>Tratamiento o disposición final (seleccione)</t>
  </si>
  <si>
    <t>Tipo de residuo sólido (Seleccione)</t>
  </si>
  <si>
    <t>F.E. tCO2/t</t>
  </si>
  <si>
    <t>F.E. tCH4/t</t>
  </si>
  <si>
    <t>F.E. tN2O/t</t>
  </si>
  <si>
    <t>CR 27 A # 48 - 144 KM 1 SALIDA SUR</t>
  </si>
  <si>
    <t>Relleno_sanitario</t>
  </si>
  <si>
    <t>(RS) Residuos ordinarios</t>
  </si>
  <si>
    <t>Kilogramos</t>
  </si>
  <si>
    <t>Incineración</t>
  </si>
  <si>
    <t>(I) Residuos hospitalarios</t>
  </si>
  <si>
    <t>Resultados del inventario</t>
  </si>
  <si>
    <t>% Categoría</t>
  </si>
  <si>
    <t>% Inventario GEI</t>
  </si>
  <si>
    <t>Total Emisiones Directas</t>
  </si>
  <si>
    <t>Consumo energía eléctrica</t>
  </si>
  <si>
    <t>Total Emisiones Indirectas</t>
  </si>
  <si>
    <t>Total Emisiones GEI</t>
  </si>
  <si>
    <t>Alcance  1</t>
  </si>
  <si>
    <t>Alcance 2</t>
  </si>
  <si>
    <t>Alcance 3</t>
  </si>
  <si>
    <t>Total Emisiones Biogénicas Directas</t>
  </si>
  <si>
    <t>Total Emisiones Biogénicas Indirectas</t>
  </si>
  <si>
    <t>Total Emisiones Biogénicas</t>
  </si>
  <si>
    <t>Resultados aporte por cada GEI</t>
  </si>
  <si>
    <t>Tipo de Gas de Efecto Invernadero</t>
  </si>
  <si>
    <t>Emisiones (tGEI)</t>
  </si>
  <si>
    <r>
      <t>Emisiones (tCO</t>
    </r>
    <r>
      <rPr>
        <b/>
        <vertAlign val="subscript"/>
        <sz val="10"/>
        <color rgb="FFFFFFFF"/>
        <rFont val="Tahoma"/>
        <family val="2"/>
      </rPr>
      <t>2</t>
    </r>
    <r>
      <rPr>
        <b/>
        <sz val="10"/>
        <color rgb="FFFFFFFF"/>
        <rFont val="Tahoma"/>
        <family val="2"/>
      </rPr>
      <t>e)</t>
    </r>
  </si>
  <si>
    <t xml:space="preserve">(%) Participación </t>
  </si>
  <si>
    <r>
      <t>CO</t>
    </r>
    <r>
      <rPr>
        <vertAlign val="subscript"/>
        <sz val="10"/>
        <color rgb="FF000000"/>
        <rFont val="Tahoma"/>
        <family val="2"/>
      </rPr>
      <t>2</t>
    </r>
  </si>
  <si>
    <r>
      <t>CH</t>
    </r>
    <r>
      <rPr>
        <vertAlign val="subscript"/>
        <sz val="10"/>
        <color rgb="FF000000"/>
        <rFont val="Tahoma"/>
        <family val="2"/>
      </rPr>
      <t xml:space="preserve">4 </t>
    </r>
    <r>
      <rPr>
        <sz val="10"/>
        <color rgb="FF000000"/>
        <rFont val="Tahoma"/>
        <family val="2"/>
      </rPr>
      <t>Fósil</t>
    </r>
  </si>
  <si>
    <r>
      <t>N</t>
    </r>
    <r>
      <rPr>
        <vertAlign val="subscript"/>
        <sz val="10"/>
        <color rgb="FF000000"/>
        <rFont val="Tahoma"/>
        <family val="2"/>
      </rPr>
      <t>2</t>
    </r>
    <r>
      <rPr>
        <sz val="10"/>
        <color rgb="FF000000"/>
        <rFont val="Tahoma"/>
        <family val="2"/>
      </rPr>
      <t>O</t>
    </r>
  </si>
  <si>
    <t>HFC-410ª/ R410A</t>
  </si>
  <si>
    <t>-</t>
  </si>
  <si>
    <t>Factores de emisión:</t>
  </si>
  <si>
    <t>Combustibles fósiles</t>
  </si>
  <si>
    <t>FECOC UPME</t>
  </si>
  <si>
    <t>Año</t>
  </si>
  <si>
    <t>Enlace consulta:</t>
  </si>
  <si>
    <t>http://www.upme.gov.co/calculadora_emisiones/aplicacion/Informe_Final_FECOC.pdf</t>
  </si>
  <si>
    <t>COMBUSTIBLE</t>
  </si>
  <si>
    <t>Biomasa</t>
  </si>
  <si>
    <t xml:space="preserve">%Incert. +/- </t>
  </si>
  <si>
    <r>
      <t>kgCO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/ton</t>
    </r>
  </si>
  <si>
    <t>kgCH4/ton</t>
  </si>
  <si>
    <t>kgN2O/ton</t>
  </si>
  <si>
    <t>Carbón Genérico</t>
  </si>
  <si>
    <t>No</t>
  </si>
  <si>
    <r>
      <t>kgCO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/gal</t>
    </r>
  </si>
  <si>
    <t>kgCH4/gal</t>
  </si>
  <si>
    <t>kgN2O/gal</t>
  </si>
  <si>
    <t>Carbón Guajira - Cesar</t>
  </si>
  <si>
    <t>Kerosene</t>
  </si>
  <si>
    <t>Carbón Guajira</t>
  </si>
  <si>
    <t>Combustoleo</t>
  </si>
  <si>
    <t>Carbón Cundinamarca</t>
  </si>
  <si>
    <t>Crudo de Castilla</t>
  </si>
  <si>
    <t>Carbón Cauca - Valle del Cauca</t>
  </si>
  <si>
    <t>Avigas</t>
  </si>
  <si>
    <t>Carbón Norte de Santander</t>
  </si>
  <si>
    <t>Jet A1</t>
  </si>
  <si>
    <t>Carbón Córdoba-Norte de Antioquia</t>
  </si>
  <si>
    <t>Sí</t>
  </si>
  <si>
    <t>Carbón Santander</t>
  </si>
  <si>
    <t>Carbón Santander Sogamoso</t>
  </si>
  <si>
    <t>Fuel Oil # 4 - Ecopetrol</t>
  </si>
  <si>
    <t>Carbón Boyacá</t>
  </si>
  <si>
    <t>Carbón Antioquia</t>
  </si>
  <si>
    <t>Diesel Marino</t>
  </si>
  <si>
    <t>Bagazo</t>
  </si>
  <si>
    <t>Fibra de palma</t>
  </si>
  <si>
    <t>Gasolina E10 (Mezcla Comercial</t>
  </si>
  <si>
    <t>Cuesco de palma</t>
  </si>
  <si>
    <t>Raquis de palma</t>
  </si>
  <si>
    <t>Cascarilla de Arroz</t>
  </si>
  <si>
    <r>
      <t>kgCO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/m3</t>
    </r>
  </si>
  <si>
    <t>kgCH4/m3</t>
  </si>
  <si>
    <t>kgN2O/m3</t>
  </si>
  <si>
    <t>Borra de Café</t>
  </si>
  <si>
    <t>Biogás Genérico</t>
  </si>
  <si>
    <t>Cisco de Café</t>
  </si>
  <si>
    <t>Coke Gas Genérico</t>
  </si>
  <si>
    <t>Leña</t>
  </si>
  <si>
    <t>Gas Natural Genérico</t>
  </si>
  <si>
    <t>Madera Genérico</t>
  </si>
  <si>
    <t>Gas Natural Cusiana</t>
  </si>
  <si>
    <t>Madera Eucalipto</t>
  </si>
  <si>
    <t>Gas Natural Guajira</t>
  </si>
  <si>
    <t>Madera Pino</t>
  </si>
  <si>
    <t>Gas Natural Guepaje</t>
  </si>
  <si>
    <t>Madera Acacia</t>
  </si>
  <si>
    <t>Gas Natural Neiva - Huila</t>
  </si>
  <si>
    <t>Madera Melina</t>
  </si>
  <si>
    <t>Gas Opon Payoa</t>
  </si>
  <si>
    <t>Residuos de llantas</t>
  </si>
  <si>
    <t>Gas Cupiagua</t>
  </si>
  <si>
    <t>Gas La Creciente</t>
  </si>
  <si>
    <t>GLP Genérico</t>
  </si>
  <si>
    <t>FE en kg/kg GLP</t>
  </si>
  <si>
    <t>LPG Propano</t>
  </si>
  <si>
    <t>Gas de Pozo cupiagua</t>
  </si>
  <si>
    <t>Gas Natural Mezcla Sebastopol</t>
  </si>
  <si>
    <t>Gas Natural Mezcla Usme</t>
  </si>
  <si>
    <t>Gas Natural Mezcla Mariquita</t>
  </si>
  <si>
    <t>Gas MAPP</t>
  </si>
  <si>
    <t>Energía electrica</t>
  </si>
  <si>
    <t>2009 - 2021</t>
  </si>
  <si>
    <t>https://www1.upme.gov.co/siame/Paginas/calculo-factor-de-emision-de-Co2-del-SIN.aspx</t>
  </si>
  <si>
    <t>Unidad F.E.</t>
  </si>
  <si>
    <t>Acetileno</t>
  </si>
  <si>
    <t>kg</t>
  </si>
  <si>
    <t>kgCO2/galón</t>
  </si>
  <si>
    <t>kgCO2/kg</t>
  </si>
  <si>
    <t>GHG PROTOCOL</t>
  </si>
  <si>
    <t>https://ghgprotocol.org/calculation-tools</t>
  </si>
  <si>
    <t>Modalidad transporte</t>
  </si>
  <si>
    <t xml:space="preserve">Tipo de vehiculo </t>
  </si>
  <si>
    <r>
      <t>F.E kgCO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/km</t>
    </r>
  </si>
  <si>
    <t>Bus</t>
  </si>
  <si>
    <t>km</t>
  </si>
  <si>
    <t>Propio</t>
  </si>
  <si>
    <t>Bus - Diesel</t>
  </si>
  <si>
    <t>Bus - Gasolina</t>
  </si>
  <si>
    <t>Bus - Etanol</t>
  </si>
  <si>
    <t xml:space="preserve">Carro particular - Gasolina </t>
  </si>
  <si>
    <t xml:space="preserve">Carro particular - Diesel </t>
  </si>
  <si>
    <t>Motocicleta</t>
  </si>
  <si>
    <t>Tipo de actividad</t>
  </si>
  <si>
    <r>
      <t>F.E TonCO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/Ton -km</t>
    </r>
  </si>
  <si>
    <t>Importación</t>
  </si>
  <si>
    <t>Aerea</t>
  </si>
  <si>
    <t>Vuelo de larga distancia</t>
  </si>
  <si>
    <t>Ton-km</t>
  </si>
  <si>
    <t>Exportación</t>
  </si>
  <si>
    <t>Vuelo de corta distancia</t>
  </si>
  <si>
    <t>Maritima</t>
  </si>
  <si>
    <t>Transporte maritimo</t>
  </si>
  <si>
    <t>Aguas arriba</t>
  </si>
  <si>
    <t xml:space="preserve">Terrestre </t>
  </si>
  <si>
    <t>Vehículo de carga</t>
  </si>
  <si>
    <t>Aguas abajo</t>
  </si>
  <si>
    <t>Residuos solidos</t>
  </si>
  <si>
    <t>DEFRA</t>
  </si>
  <si>
    <t xml:space="preserve">Tipo tratamiento o disposición final </t>
  </si>
  <si>
    <t xml:space="preserve">Residuo solido </t>
  </si>
  <si>
    <r>
      <t>F.E TonCO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/Ton residuo</t>
    </r>
  </si>
  <si>
    <r>
      <t>F.E TonCH</t>
    </r>
    <r>
      <rPr>
        <b/>
        <sz val="6.5"/>
        <color theme="0"/>
        <rFont val="Tahoma"/>
        <family val="2"/>
      </rPr>
      <t>4</t>
    </r>
    <r>
      <rPr>
        <b/>
        <sz val="10"/>
        <color theme="0"/>
        <rFont val="Tahoma"/>
        <family val="2"/>
      </rPr>
      <t>/Ton</t>
    </r>
  </si>
  <si>
    <r>
      <t>F.E TonN</t>
    </r>
    <r>
      <rPr>
        <b/>
        <sz val="6.5"/>
        <color theme="0"/>
        <rFont val="Tahoma"/>
        <family val="2"/>
      </rPr>
      <t>2</t>
    </r>
    <r>
      <rPr>
        <b/>
        <sz val="10"/>
        <color theme="0"/>
        <rFont val="Tahoma"/>
        <family val="2"/>
      </rPr>
      <t>O/Ton</t>
    </r>
  </si>
  <si>
    <t>Ton</t>
  </si>
  <si>
    <t xml:space="preserve">(RS) Residuos de libros </t>
  </si>
  <si>
    <t xml:space="preserve">(RS) Residuos de vidrio </t>
  </si>
  <si>
    <t>Tratamientos considerados</t>
  </si>
  <si>
    <t>(RS) Residuos textiles</t>
  </si>
  <si>
    <r>
      <t>Relleno</t>
    </r>
    <r>
      <rPr>
        <sz val="10"/>
        <color theme="0"/>
        <rFont val="Tahoma"/>
        <family val="2"/>
      </rPr>
      <t>_</t>
    </r>
    <r>
      <rPr>
        <sz val="10"/>
        <color theme="1"/>
        <rFont val="Tahoma"/>
        <family val="2"/>
      </rPr>
      <t>sanitario</t>
    </r>
  </si>
  <si>
    <t xml:space="preserve">(RS) Residuos de aparatos electricos y electronicos </t>
  </si>
  <si>
    <t xml:space="preserve">Botadero </t>
  </si>
  <si>
    <t>(RS) Residuos de baterias</t>
  </si>
  <si>
    <t>(RS) Residuos de metales</t>
  </si>
  <si>
    <t>Compostaje</t>
  </si>
  <si>
    <t>(RS) Residuos de plastico</t>
  </si>
  <si>
    <r>
      <t>Digestión</t>
    </r>
    <r>
      <rPr>
        <sz val="10"/>
        <color theme="0"/>
        <rFont val="Tahoma"/>
        <family val="2"/>
      </rPr>
      <t>_</t>
    </r>
    <r>
      <rPr>
        <sz val="10"/>
        <color theme="1"/>
        <rFont val="Tahoma"/>
        <family val="2"/>
      </rPr>
      <t>anaeróbica</t>
    </r>
  </si>
  <si>
    <t>(RS) Residuos de papel</t>
  </si>
  <si>
    <t xml:space="preserve">Quema_cielo_abierto </t>
  </si>
  <si>
    <t xml:space="preserve">(RS) Residuos de carton </t>
  </si>
  <si>
    <t>(B) Residuos ordinarios</t>
  </si>
  <si>
    <t>(I) Residuos ordinarios</t>
  </si>
  <si>
    <t>(I) Residuos industriales</t>
  </si>
  <si>
    <t>(I) Residuos de construccion y demolicion</t>
  </si>
  <si>
    <t xml:space="preserve">(I) Residuos de libros </t>
  </si>
  <si>
    <t xml:space="preserve">(I) Residuos de vidrio </t>
  </si>
  <si>
    <t>(I) Residuos textiles</t>
  </si>
  <si>
    <t xml:space="preserve">(I) Residuos de aparatos electricos y electronicos </t>
  </si>
  <si>
    <t>(I) Residuos de metales</t>
  </si>
  <si>
    <t>(I) Residuos de plastico</t>
  </si>
  <si>
    <t>(I) Residuos de papel</t>
  </si>
  <si>
    <t xml:space="preserve">(I) Residuos de carton </t>
  </si>
  <si>
    <t>(C) Peso seco del residuo</t>
  </si>
  <si>
    <t>(C) Peso humedo del residuo</t>
  </si>
  <si>
    <t>(DA) Peso seco del residuo</t>
  </si>
  <si>
    <t>(DA) Peso humedo del residuo</t>
  </si>
  <si>
    <t>(QC) Residuos ordinarios</t>
  </si>
  <si>
    <t>TRATAMIENTO DE RESIDUOS LÍQUIDOS DOMÉSTICAS</t>
  </si>
  <si>
    <t>CH4</t>
  </si>
  <si>
    <t>TRATAMIENTO DE RESIDUOS LÍQUIDOS INDUSTRIALES</t>
  </si>
  <si>
    <t>FACTOR DE EMISIÓN
(kgCH4/kg DBO)</t>
  </si>
  <si>
    <t>FACTOR DE EMISIÓN
(kgCH4/kg DQO)</t>
  </si>
  <si>
    <t>Eliminación en río, lago o mar</t>
  </si>
  <si>
    <t>Cloaca estacada abierta y caliente</t>
  </si>
  <si>
    <t>Tratamiento aeróbico mal operado</t>
  </si>
  <si>
    <t>Cloaca en movimiento abierta o cerrada</t>
  </si>
  <si>
    <t>Reactor anaeróbico</t>
  </si>
  <si>
    <t>Laguna anaeróbica poco profunda (&lt; 2 metros)</t>
  </si>
  <si>
    <t>Laguna anaeróbica profunda (&gt; 2 metros)</t>
  </si>
  <si>
    <t>Sistema séptico</t>
  </si>
  <si>
    <t>Generales</t>
  </si>
  <si>
    <t>Gas</t>
  </si>
  <si>
    <t>AR6</t>
  </si>
  <si>
    <t>HFC-23 / R-23</t>
  </si>
  <si>
    <t>GWP-AR6-IPCC</t>
  </si>
  <si>
    <t>CH4 fósil</t>
  </si>
  <si>
    <t>HCFC 123</t>
  </si>
  <si>
    <t>HFC-32 / R-32</t>
  </si>
  <si>
    <t>CH4 biogénico</t>
  </si>
  <si>
    <t>HFC-125 / R-125</t>
  </si>
  <si>
    <t>N2O</t>
  </si>
  <si>
    <t>HFC-134 / R-134</t>
  </si>
  <si>
    <t>HFC-134a / R-134a</t>
  </si>
  <si>
    <t>HFC-143 / R-143</t>
  </si>
  <si>
    <t>https://www.ipcc.ch/report/ar6/wg1/downloads/report/IPCC_AR6_WGI_Chapter07_SM.pdf</t>
  </si>
  <si>
    <t>HFC-143a / R-143a</t>
  </si>
  <si>
    <t>https://www.ghgprotocol.org/sites/default/files/ghgp/Global-Warming-Potential-Values%20%28Feb%2016%202016%29_1.pdf</t>
  </si>
  <si>
    <t>HFC-404A / R-404A</t>
  </si>
  <si>
    <t>Calculado a partir de la composición porcentual con los valores del AR6 - IPCC. R134A=4%; R125=44%; R143A=52%</t>
  </si>
  <si>
    <t>HFC-407C / R-407C</t>
  </si>
  <si>
    <t>Calculado a partir de la composición porcentual con los valores del AR5 - IPCC. R134A=52%; R125=25%; R32=23%. Datos de porcentajes obtenidos de: IPCC    http://www.ipcc.ch/ipccreports/tar/wg3/index.php?idp=144</t>
  </si>
  <si>
    <t>Calculado a partir de la composición porcentual con los valores del AR6 - IPCC. R125=50%; R32=50%. Datos de porcentajes obtenidos de: IPCC    http://www.ipcc.ch/ipccreports/tar/wg3/index.php?idp=144</t>
  </si>
  <si>
    <t>HFC-413a / R-413A</t>
  </si>
  <si>
    <t>Calculado a partir de la composición porcentual con los valores del AR5 - IPCC. R218=9%; R134A=88% y R600=3%. Datos de porcentajes obtenidos de: IPCC    http://www.ipcc.ch/ipccreports/tar/wg3/index.php?idp=144</t>
  </si>
  <si>
    <t>HFC-422D / R-422D</t>
  </si>
  <si>
    <t>Calculado a partir de la composición porcentual con los valores del AR6 - IPCC. R125=65,1%; R134A=31,5%; R600A=3,4%. Datos de porcentajes obtenidos de: http://www.gas-servei.com/images/Ficha-tecnica-R422D--I29-.pdf</t>
  </si>
  <si>
    <t>HFC-507A / R-507A</t>
  </si>
  <si>
    <t>Calculado a partir de la composición porcentual con los valores del AR5 - IPCC. R125=50%; R134A=50%. Datos de porcentajes obtenidos de: https://gas-servei.com/shop/docs/ficha-tecnica-r-507a-gas-servei.pdf</t>
  </si>
  <si>
    <t xml:space="preserve">PFC-14 / R-14 </t>
  </si>
  <si>
    <t xml:space="preserve">PFC-218 / R-218 </t>
  </si>
  <si>
    <t>FE-36 / 1,1,1,3,3,3 - Hexafluoropropano</t>
  </si>
  <si>
    <t>GWP-AR5-IPCC</t>
  </si>
  <si>
    <t>Propano Alta Calidad / R-290</t>
  </si>
  <si>
    <t>http://www.lindeus.com/internet.lg.lg.usa/en/images/Linde%20R290%20Refrigerant%20Grade%20Propane138_11493.pdf</t>
  </si>
  <si>
    <t xml:space="preserve">Isobutano / R-600A </t>
  </si>
  <si>
    <t>Halon 1301 / CBrF3</t>
  </si>
  <si>
    <t>SF6</t>
  </si>
  <si>
    <t>Factor a toneladas</t>
  </si>
  <si>
    <t>Tipo equipos refrigerantes</t>
  </si>
  <si>
    <t>Pérdida anual %</t>
  </si>
  <si>
    <t>Gramos</t>
  </si>
  <si>
    <t>Refrigeración doméstica</t>
  </si>
  <si>
    <t>Neveras comerciales independientes</t>
  </si>
  <si>
    <t>Refrigeración comercial mediana y grande</t>
  </si>
  <si>
    <t>Tonelada</t>
  </si>
  <si>
    <t>Transporte refrigerado</t>
  </si>
  <si>
    <t>Refrigeración industrial</t>
  </si>
  <si>
    <t>Factor a m3</t>
  </si>
  <si>
    <t>Chillers</t>
  </si>
  <si>
    <t>m3</t>
  </si>
  <si>
    <t>Aires acondicionados residenciales o comerciales</t>
  </si>
  <si>
    <t>plg3</t>
  </si>
  <si>
    <t>Aires acondicionados Vehículos</t>
  </si>
  <si>
    <t>ft3</t>
  </si>
  <si>
    <t>cm3</t>
  </si>
  <si>
    <t>lt</t>
  </si>
  <si>
    <t>Solo para GLP</t>
  </si>
  <si>
    <t>Fuente:</t>
  </si>
  <si>
    <t>https://ghgprotocol.org/sites/default/files/ghg-uncertainty.pdf</t>
  </si>
  <si>
    <t>https://www.ipcc-nggip.iges.or.jp/public/2019rf/pdf/3_Volume3/19R_V3_Ch07_ODS_Substitutes.pdf</t>
  </si>
  <si>
    <t>Factor a galón</t>
  </si>
  <si>
    <t>Página 17</t>
  </si>
  <si>
    <t>Página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</si>
</sst>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-* #,##0.0_-;\-* #,##0.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&quot;+/- &quot;0.0%"/>
    <numFmt numFmtId="168" formatCode="_-* #,##0.000000_-;\-* #,##0.000000_-;_-* &quot;-&quot;??_-;_-@_-"/>
    <numFmt numFmtId="169" formatCode="#,##0.000"/>
    <numFmt numFmtId="170" formatCode="#,##0.00000"/>
    <numFmt numFmtId="171" formatCode="#,##0.0000000"/>
    <numFmt numFmtId="172" formatCode="[=0]0;[&lt;0.001]0.000E+00;0.000"/>
    <numFmt numFmtId="173" formatCode="0.0000"/>
    <numFmt numFmtId="174" formatCode="0.0000000"/>
    <numFmt numFmtId="175" formatCode="0.00000000"/>
    <numFmt numFmtId="176" formatCode="#,##0.000000"/>
    <numFmt numFmtId="177" formatCode="0.0"/>
    <numFmt numFmtId="178" formatCode="#.##0.00"/>
    <numFmt numFmtId="179" formatCode="#,##0.0000"/>
    <numFmt numFmtId="180" formatCode="0.000"/>
    <numFmt numFmtId="181" formatCode="0.000%"/>
    <numFmt numFmtId="182" formatCode="0.0%"/>
    <numFmt numFmtId="183" formatCode="&quot;+/- &quot;0.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sz val="8"/>
      <name val="Calibri"/>
      <family val="2"/>
      <scheme val="minor"/>
    </font>
    <font>
      <sz val="10"/>
      <color theme="1"/>
      <name val="Trebuchet MS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6.5"/>
      <color theme="0"/>
      <name val="Tahoma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0"/>
      <name val="Tahoma"/>
      <family val="2"/>
    </font>
    <font>
      <sz val="9"/>
      <color theme="1"/>
      <name val="Tahoma"/>
      <family val="2"/>
    </font>
    <font>
      <b/>
      <sz val="8"/>
      <color theme="0"/>
      <name val="Tahoma"/>
      <family val="2"/>
    </font>
    <font>
      <i/>
      <sz val="10"/>
      <color theme="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0"/>
      <name val="Tahoma"/>
      <family val="2"/>
    </font>
    <font>
      <u/>
      <sz val="8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10"/>
      <color theme="1"/>
      <name val="Tahoma"/>
    </font>
    <font>
      <b/>
      <sz val="10"/>
      <color theme="0"/>
      <name val="Tahoma"/>
    </font>
    <font>
      <b/>
      <sz val="11"/>
      <color theme="0"/>
      <name val="Tahoma"/>
      <family val="2"/>
    </font>
    <font>
      <b/>
      <sz val="10"/>
      <color rgb="FFFFFFFF"/>
      <name val="Tahoma"/>
      <family val="2"/>
    </font>
    <font>
      <b/>
      <vertAlign val="subscript"/>
      <sz val="10"/>
      <color rgb="FFFFFFFF"/>
      <name val="Tahoma"/>
      <family val="2"/>
    </font>
    <font>
      <vertAlign val="subscript"/>
      <sz val="10"/>
      <color rgb="FF000000"/>
      <name val="Tahoma"/>
      <family val="2"/>
    </font>
    <font>
      <b/>
      <sz val="11"/>
      <color theme="0"/>
      <name val="Arial"/>
      <family val="2"/>
    </font>
    <font>
      <sz val="10"/>
      <color rgb="FF000000"/>
      <name val="Tahoma"/>
    </font>
    <font>
      <b/>
      <sz val="10"/>
      <color rgb="FFFFFFFF"/>
      <name val="Tahoma"/>
    </font>
    <font>
      <sz val="11"/>
      <name val="Calibri"/>
    </font>
    <font>
      <i/>
      <sz val="10"/>
      <color rgb="FF000000"/>
      <name val="Tahoma"/>
    </font>
    <font>
      <sz val="11"/>
      <color rgb="FF000000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C6E0B4"/>
        <bgColor rgb="FFC6E0B4"/>
      </patternFill>
    </fill>
    <fill>
      <patternFill patternType="solid">
        <fgColor rgb="FF92D050"/>
        <bgColor rgb="FFC6E0B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/>
      <bottom style="thin">
        <color rgb="FF92D050"/>
      </bottom>
      <diagonal/>
    </border>
    <border>
      <left style="thin">
        <color theme="0"/>
      </left>
      <right style="thin">
        <color theme="0"/>
      </right>
      <top/>
      <bottom style="thin">
        <color rgb="FF92D05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medium">
        <color rgb="FF000000"/>
      </left>
      <right style="thin">
        <color theme="0"/>
      </right>
      <top/>
      <bottom/>
      <diagonal/>
    </border>
    <border>
      <left style="medium">
        <color rgb="FF00000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theme="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92D050"/>
      </left>
      <right style="thin">
        <color rgb="FFFFFFFF"/>
      </right>
      <top/>
      <bottom style="thin">
        <color rgb="FF92D05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92D050"/>
      </bottom>
      <diagonal/>
    </border>
    <border>
      <left style="thin">
        <color rgb="FFFFFFFF"/>
      </left>
      <right style="thin">
        <color rgb="FFFFFFFF"/>
      </right>
      <top style="thin">
        <color rgb="FF92D050"/>
      </top>
      <bottom style="thin">
        <color rgb="FF92D05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 applyNumberFormat="0" applyFill="0" applyBorder="0" applyAlignment="0" applyProtection="0"/>
  </cellStyleXfs>
  <cellXfs count="2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2" xfId="0" applyFont="1" applyFill="1" applyBorder="1"/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43" fontId="7" fillId="2" borderId="16" xfId="1" applyFont="1" applyFill="1" applyBorder="1" applyAlignment="1">
      <alignment horizontal="center"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7" fontId="7" fillId="4" borderId="5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8" fontId="7" fillId="2" borderId="5" xfId="1" applyNumberFormat="1" applyFont="1" applyFill="1" applyBorder="1" applyAlignment="1">
      <alignment horizontal="center" vertical="center" wrapText="1"/>
    </xf>
    <xf numFmtId="9" fontId="7" fillId="2" borderId="5" xfId="2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167" fontId="12" fillId="3" borderId="5" xfId="0" applyNumberFormat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168" fontId="7" fillId="3" borderId="5" xfId="1" applyNumberFormat="1" applyFont="1" applyFill="1" applyBorder="1" applyAlignment="1">
      <alignment horizontal="center" vertical="center" wrapText="1"/>
    </xf>
    <xf numFmtId="169" fontId="7" fillId="4" borderId="5" xfId="0" applyNumberFormat="1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center" wrapText="1"/>
    </xf>
    <xf numFmtId="171" fontId="7" fillId="4" borderId="5" xfId="0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18" fillId="2" borderId="0" xfId="3" applyFont="1" applyFill="1"/>
    <xf numFmtId="9" fontId="6" fillId="2" borderId="5" xfId="2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19" fillId="2" borderId="0" xfId="3" applyFont="1" applyFill="1"/>
    <xf numFmtId="9" fontId="7" fillId="4" borderId="5" xfId="2" applyFont="1" applyFill="1" applyBorder="1" applyAlignment="1">
      <alignment horizontal="center" vertical="center" wrapText="1"/>
    </xf>
    <xf numFmtId="0" fontId="7" fillId="2" borderId="5" xfId="0" applyFont="1" applyFill="1" applyBorder="1"/>
    <xf numFmtId="167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167" fontId="12" fillId="2" borderId="0" xfId="0" applyNumberFormat="1" applyFont="1" applyFill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0" fontId="7" fillId="2" borderId="5" xfId="2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172" fontId="20" fillId="2" borderId="0" xfId="6" applyNumberFormat="1" applyFill="1" applyAlignment="1" applyProtection="1">
      <alignment vertical="center"/>
      <protection hidden="1"/>
    </xf>
    <xf numFmtId="172" fontId="20" fillId="2" borderId="23" xfId="6" applyNumberFormat="1" applyFill="1" applyBorder="1" applyAlignment="1" applyProtection="1">
      <alignment vertical="center"/>
      <protection hidden="1"/>
    </xf>
    <xf numFmtId="0" fontId="2" fillId="2" borderId="24" xfId="0" applyFont="1" applyFill="1" applyBorder="1"/>
    <xf numFmtId="0" fontId="2" fillId="2" borderId="25" xfId="0" applyFont="1" applyFill="1" applyBorder="1"/>
    <xf numFmtId="0" fontId="7" fillId="2" borderId="10" xfId="0" applyFont="1" applyFill="1" applyBorder="1"/>
    <xf numFmtId="174" fontId="7" fillId="4" borderId="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17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43" fontId="7" fillId="2" borderId="0" xfId="1" applyFont="1" applyFill="1" applyBorder="1" applyAlignment="1">
      <alignment horizontal="center" vertical="center" wrapText="1"/>
    </xf>
    <xf numFmtId="173" fontId="7" fillId="4" borderId="5" xfId="0" applyNumberFormat="1" applyFont="1" applyFill="1" applyBorder="1" applyAlignment="1">
      <alignment horizontal="center" vertical="center" wrapText="1"/>
    </xf>
    <xf numFmtId="175" fontId="7" fillId="4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21" fillId="3" borderId="0" xfId="0" quotePrefix="1" applyNumberFormat="1" applyFont="1" applyFill="1" applyAlignment="1">
      <alignment horizontal="center"/>
    </xf>
    <xf numFmtId="176" fontId="7" fillId="4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0" xfId="0" applyFont="1" applyFill="1" applyAlignment="1">
      <alignment horizontal="center"/>
    </xf>
    <xf numFmtId="0" fontId="7" fillId="2" borderId="16" xfId="0" applyFont="1" applyFill="1" applyBorder="1"/>
    <xf numFmtId="4" fontId="7" fillId="5" borderId="5" xfId="0" applyNumberFormat="1" applyFont="1" applyFill="1" applyBorder="1" applyAlignment="1">
      <alignment horizontal="center" vertical="center" wrapText="1"/>
    </xf>
    <xf numFmtId="169" fontId="7" fillId="5" borderId="5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177" fontId="7" fillId="4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7" fontId="3" fillId="3" borderId="10" xfId="0" applyNumberFormat="1" applyFont="1" applyFill="1" applyBorder="1" applyAlignment="1">
      <alignment horizontal="center" vertical="center" wrapText="1"/>
    </xf>
    <xf numFmtId="178" fontId="7" fillId="2" borderId="5" xfId="2" applyNumberFormat="1" applyFont="1" applyFill="1" applyBorder="1" applyAlignment="1">
      <alignment horizontal="center" vertical="center" wrapText="1"/>
    </xf>
    <xf numFmtId="0" fontId="2" fillId="2" borderId="15" xfId="0" applyFont="1" applyFill="1" applyBorder="1"/>
    <xf numFmtId="0" fontId="2" fillId="2" borderId="19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/>
    </xf>
    <xf numFmtId="11" fontId="7" fillId="2" borderId="5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3" fillId="2" borderId="0" xfId="0" applyFont="1" applyFill="1" applyAlignment="1">
      <alignment horizontal="center" vertical="center" wrapText="1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2" fillId="2" borderId="11" xfId="0" applyFont="1" applyFill="1" applyBorder="1"/>
    <xf numFmtId="0" fontId="2" fillId="2" borderId="3" xfId="0" applyFont="1" applyFill="1" applyBorder="1"/>
    <xf numFmtId="0" fontId="3" fillId="3" borderId="6" xfId="0" applyFont="1" applyFill="1" applyBorder="1" applyAlignment="1">
      <alignment horizontal="center"/>
    </xf>
    <xf numFmtId="179" fontId="7" fillId="4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/>
    </xf>
    <xf numFmtId="179" fontId="22" fillId="4" borderId="5" xfId="0" applyNumberFormat="1" applyFont="1" applyFill="1" applyBorder="1" applyAlignment="1">
      <alignment horizontal="center" vertical="center" wrapText="1"/>
    </xf>
    <xf numFmtId="4" fontId="22" fillId="4" borderId="5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/>
    </xf>
    <xf numFmtId="0" fontId="7" fillId="2" borderId="11" xfId="0" applyFont="1" applyFill="1" applyBorder="1"/>
    <xf numFmtId="0" fontId="22" fillId="2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7" fillId="6" borderId="5" xfId="0" applyFont="1" applyFill="1" applyBorder="1"/>
    <xf numFmtId="165" fontId="7" fillId="6" borderId="1" xfId="1" applyNumberFormat="1" applyFont="1" applyFill="1" applyBorder="1" applyAlignment="1">
      <alignment horizontal="center" vertical="center" wrapText="1"/>
    </xf>
    <xf numFmtId="0" fontId="10" fillId="2" borderId="0" xfId="7" applyFill="1"/>
    <xf numFmtId="0" fontId="7" fillId="7" borderId="5" xfId="0" applyFont="1" applyFill="1" applyBorder="1"/>
    <xf numFmtId="0" fontId="2" fillId="2" borderId="0" xfId="0" applyFont="1" applyFill="1" applyAlignment="1">
      <alignment horizontal="center" vertical="center"/>
    </xf>
    <xf numFmtId="170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4" fontId="21" fillId="8" borderId="34" xfId="0" applyNumberFormat="1" applyFont="1" applyFill="1" applyBorder="1" applyAlignment="1">
      <alignment horizontal="center" vertical="center" wrapText="1"/>
    </xf>
    <xf numFmtId="177" fontId="21" fillId="8" borderId="34" xfId="0" applyNumberFormat="1" applyFont="1" applyFill="1" applyBorder="1" applyAlignment="1">
      <alignment horizontal="center" vertical="center" wrapText="1"/>
    </xf>
    <xf numFmtId="169" fontId="21" fillId="8" borderId="34" xfId="0" applyNumberFormat="1" applyFont="1" applyFill="1" applyBorder="1" applyAlignment="1">
      <alignment horizontal="center" vertical="center" wrapText="1"/>
    </xf>
    <xf numFmtId="180" fontId="21" fillId="8" borderId="34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170" fontId="21" fillId="8" borderId="34" xfId="0" applyNumberFormat="1" applyFont="1" applyFill="1" applyBorder="1" applyAlignment="1">
      <alignment horizontal="center" vertical="center" wrapText="1"/>
    </xf>
    <xf numFmtId="9" fontId="21" fillId="8" borderId="34" xfId="2" applyFont="1" applyFill="1" applyBorder="1" applyAlignment="1">
      <alignment horizontal="center" vertical="center" wrapText="1"/>
    </xf>
    <xf numFmtId="9" fontId="28" fillId="3" borderId="34" xfId="2" applyFont="1" applyFill="1" applyBorder="1" applyAlignment="1">
      <alignment horizontal="center" vertical="center" wrapText="1"/>
    </xf>
    <xf numFmtId="181" fontId="21" fillId="8" borderId="34" xfId="2" applyNumberFormat="1" applyFont="1" applyFill="1" applyBorder="1" applyAlignment="1">
      <alignment horizontal="center" vertical="center" wrapText="1"/>
    </xf>
    <xf numFmtId="2" fontId="21" fillId="8" borderId="34" xfId="1" applyNumberFormat="1" applyFont="1" applyFill="1" applyBorder="1" applyAlignment="1">
      <alignment horizontal="center" vertical="center" wrapText="1"/>
    </xf>
    <xf numFmtId="2" fontId="28" fillId="3" borderId="34" xfId="1" applyNumberFormat="1" applyFont="1" applyFill="1" applyBorder="1" applyAlignment="1">
      <alignment horizontal="center" vertical="center" wrapText="1"/>
    </xf>
    <xf numFmtId="182" fontId="3" fillId="3" borderId="1" xfId="2" applyNumberFormat="1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30" fillId="10" borderId="40" xfId="0" applyFont="1" applyFill="1" applyBorder="1" applyAlignment="1">
      <alignment horizontal="center" vertical="center" wrapText="1"/>
    </xf>
    <xf numFmtId="0" fontId="30" fillId="10" borderId="41" xfId="0" applyFont="1" applyFill="1" applyBorder="1" applyAlignment="1">
      <alignment horizontal="center" vertical="center" wrapText="1"/>
    </xf>
    <xf numFmtId="0" fontId="30" fillId="10" borderId="42" xfId="0" applyFont="1" applyFill="1" applyBorder="1" applyAlignment="1">
      <alignment horizontal="center" vertical="center" wrapText="1"/>
    </xf>
    <xf numFmtId="0" fontId="30" fillId="10" borderId="43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29" fillId="11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167" fontId="7" fillId="4" borderId="0" xfId="0" applyNumberFormat="1" applyFont="1" applyFill="1" applyAlignment="1">
      <alignment horizontal="center" vertical="center" wrapText="1"/>
    </xf>
    <xf numFmtId="0" fontId="25" fillId="10" borderId="3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5" fillId="10" borderId="43" xfId="0" applyFont="1" applyFill="1" applyBorder="1" applyAlignment="1">
      <alignment horizontal="center" vertical="center" wrapText="1"/>
    </xf>
    <xf numFmtId="2" fontId="3" fillId="12" borderId="5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10" fontId="3" fillId="3" borderId="10" xfId="2" applyNumberFormat="1" applyFont="1" applyFill="1" applyBorder="1" applyAlignment="1">
      <alignment horizontal="center" vertical="center" wrapText="1"/>
    </xf>
    <xf numFmtId="182" fontId="3" fillId="3" borderId="10" xfId="2" applyNumberFormat="1" applyFont="1" applyFill="1" applyBorder="1" applyAlignment="1">
      <alignment horizontal="center" vertical="center" wrapText="1"/>
    </xf>
    <xf numFmtId="170" fontId="7" fillId="2" borderId="5" xfId="0" applyNumberFormat="1" applyFont="1" applyFill="1" applyBorder="1" applyAlignment="1">
      <alignment horizontal="center" vertical="center" wrapText="1"/>
    </xf>
    <xf numFmtId="182" fontId="7" fillId="2" borderId="0" xfId="0" applyNumberFormat="1" applyFont="1" applyFill="1" applyAlignment="1">
      <alignment horizontal="center" vertical="center" wrapText="1"/>
    </xf>
    <xf numFmtId="4" fontId="5" fillId="2" borderId="1" xfId="0" applyNumberFormat="1" applyFont="1" applyFill="1" applyBorder="1"/>
    <xf numFmtId="167" fontId="7" fillId="4" borderId="1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70" fontId="7" fillId="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0" fontId="3" fillId="3" borderId="5" xfId="0" applyNumberFormat="1" applyFont="1" applyFill="1" applyBorder="1" applyAlignment="1">
      <alignment horizontal="center" vertical="center" wrapText="1"/>
    </xf>
    <xf numFmtId="183" fontId="3" fillId="3" borderId="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7" fillId="4" borderId="11" xfId="0" applyNumberFormat="1" applyFont="1" applyFill="1" applyBorder="1" applyAlignment="1">
      <alignment horizontal="center" vertical="center" wrapText="1"/>
    </xf>
    <xf numFmtId="167" fontId="7" fillId="4" borderId="30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3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0" fillId="10" borderId="36" xfId="0" applyFont="1" applyFill="1" applyBorder="1" applyAlignment="1">
      <alignment horizontal="center" vertical="center" wrapText="1"/>
    </xf>
    <xf numFmtId="0" fontId="32" fillId="9" borderId="3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5" xfId="3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1" fillId="0" borderId="37" xfId="0" applyFont="1" applyBorder="1" applyAlignment="1"/>
    <xf numFmtId="0" fontId="31" fillId="0" borderId="38" xfId="0" applyFont="1" applyBorder="1" applyAlignment="1"/>
    <xf numFmtId="0" fontId="31" fillId="0" borderId="39" xfId="0" applyFont="1" applyBorder="1" applyAlignment="1"/>
  </cellXfs>
  <cellStyles count="8">
    <cellStyle name="Hipervínculo" xfId="3" builtinId="8"/>
    <cellStyle name="Hipervínculo 2" xfId="5" xr:uid="{53AAD0C6-51B3-4440-8732-A101105FA25D}"/>
    <cellStyle name="Hyperlink" xfId="7" xr:uid="{CE53237C-FA2D-46C1-B466-0E5455A0C4B1}"/>
    <cellStyle name="Millares" xfId="1" builtinId="3"/>
    <cellStyle name="Normal" xfId="0" builtinId="0"/>
    <cellStyle name="Normal 2" xfId="4" xr:uid="{1F241A2E-5DC2-4D49-8DE0-689085B423F3}"/>
    <cellStyle name="Normal_Stationary_combustion_tool_GL1" xfId="6" xr:uid="{098C9138-8CD2-43DA-9057-5D0C252A6D1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'EI_Energía electrica'!$Q$8</c:f>
              <c:strCache>
                <c:ptCount val="1"/>
                <c:pt idx="0">
                  <c:v>Total (kWh)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'EI_Energía electrica'!$C$9:$C$12</c:f>
              <c:strCache>
                <c:ptCount val="4"/>
                <c:pt idx="0">
                  <c:v>Ciudadela Universitaria</c:v>
                </c:pt>
                <c:pt idx="1">
                  <c:v>Sede Centro</c:v>
                </c:pt>
                <c:pt idx="2">
                  <c:v>Granja El Vijal </c:v>
                </c:pt>
                <c:pt idx="3">
                  <c:v>Granja Tres Esquinas </c:v>
                </c:pt>
              </c:strCache>
            </c:strRef>
          </c:cat>
          <c:val>
            <c:numRef>
              <c:f>'EI_Energía electrica'!$Q$9:$Q$12</c:f>
              <c:numCache>
                <c:formatCode>#,##0.00</c:formatCode>
                <c:ptCount val="4"/>
                <c:pt idx="0">
                  <c:v>604139</c:v>
                </c:pt>
                <c:pt idx="1">
                  <c:v>16506</c:v>
                </c:pt>
                <c:pt idx="2">
                  <c:v>463</c:v>
                </c:pt>
                <c:pt idx="3">
                  <c:v>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2-4BB7-8406-99760DE32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048895"/>
        <c:axId val="1585049855"/>
      </c:barChart>
      <c:lineChart>
        <c:grouping val="standard"/>
        <c:varyColors val="0"/>
        <c:ser>
          <c:idx val="1"/>
          <c:order val="1"/>
          <c:tx>
            <c:strRef>
              <c:f>'EI_Energía electrica'!$S$8</c:f>
              <c:strCache>
                <c:ptCount val="1"/>
                <c:pt idx="0">
                  <c:v>Total (tCO2e)</c:v>
                </c:pt>
              </c:strCache>
            </c:strRef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'EI_Energía electrica'!$C$9:$C$12</c:f>
              <c:strCache>
                <c:ptCount val="4"/>
                <c:pt idx="0">
                  <c:v>Ciudadela Universitaria</c:v>
                </c:pt>
                <c:pt idx="1">
                  <c:v>Sede Centro</c:v>
                </c:pt>
                <c:pt idx="2">
                  <c:v>Granja El Vijal </c:v>
                </c:pt>
                <c:pt idx="3">
                  <c:v>Granja Tres Esquinas </c:v>
                </c:pt>
              </c:strCache>
            </c:strRef>
          </c:cat>
          <c:val>
            <c:numRef>
              <c:f>'EI_Energía electrica'!$S$9:$S$12</c:f>
              <c:numCache>
                <c:formatCode>#,##0.00</c:formatCode>
                <c:ptCount val="4"/>
                <c:pt idx="0">
                  <c:v>76.121513999999991</c:v>
                </c:pt>
                <c:pt idx="1">
                  <c:v>2.0797559999999997</c:v>
                </c:pt>
                <c:pt idx="2">
                  <c:v>5.8338000000000001E-2</c:v>
                </c:pt>
                <c:pt idx="3">
                  <c:v>1.0854900000000001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2-4BB7-8406-99760DE32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050815"/>
        <c:axId val="1585050335"/>
      </c:lineChart>
      <c:catAx>
        <c:axId val="158504889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49855"/>
        <c:crosses val="autoZero"/>
        <c:auto val="1"/>
        <c:lblAlgn val="ctr"/>
        <c:lblOffset val="100"/>
        <c:noMultiLvlLbl val="0"/>
      </c:catAx>
      <c:valAx>
        <c:axId val="1585049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Conusmo Energía</a:t>
                </a:r>
                <a:r>
                  <a:rPr lang="es-CO" baseline="0"/>
                  <a:t> kWh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48895"/>
        <c:crosses val="autoZero"/>
        <c:crossBetween val="between"/>
      </c:valAx>
      <c:valAx>
        <c:axId val="158505033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TCO2e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050815"/>
        <c:crosses val="max"/>
        <c:crossBetween val="between"/>
      </c:valAx>
      <c:catAx>
        <c:axId val="15850508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5050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3369133868637"/>
          <c:y val="0.24769429194037798"/>
          <c:w val="0.4111830061450153"/>
          <c:h val="0.520240408663961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D8-4345-A989-5C8530B662B0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D8-4345-A989-5C8530B662B0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40B-4B36-8144-A9D8D0542EDD}"/>
              </c:ext>
            </c:extLst>
          </c:dPt>
          <c:dLbls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40B-4B36-8144-A9D8D0542E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Resultados!$G$22:$G$24</c:f>
              <c:strCache>
                <c:ptCount val="3"/>
                <c:pt idx="0">
                  <c:v>Alcance  1</c:v>
                </c:pt>
                <c:pt idx="1">
                  <c:v>Alcance 2</c:v>
                </c:pt>
                <c:pt idx="2">
                  <c:v>Alcance 3</c:v>
                </c:pt>
              </c:strCache>
            </c:strRef>
          </c:cat>
          <c:val>
            <c:numRef>
              <c:f>(Resultados!$K$13,Resultados!$K$14,Resultados!$K$21)</c:f>
              <c:numCache>
                <c:formatCode>0.00%</c:formatCode>
                <c:ptCount val="3"/>
                <c:pt idx="0">
                  <c:v>0.46040145091029594</c:v>
                </c:pt>
                <c:pt idx="1">
                  <c:v>0.5293377179005655</c:v>
                </c:pt>
                <c:pt idx="2" formatCode="0.0%">
                  <c:v>1.0260831189138545E-2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8-4345-A989-5C8530B662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41319166831378"/>
          <c:y val="0.12387812637405271"/>
          <c:w val="0.34016593166482673"/>
          <c:h val="0.68660233454739827"/>
        </c:manualLayout>
      </c:layout>
      <c:pieChart>
        <c:varyColors val="1"/>
        <c:ser>
          <c:idx val="1"/>
          <c:order val="0"/>
          <c:explosion val="4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6E-46D2-9637-5BC8CD6EF887}"/>
              </c:ext>
            </c:extLst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6E-46D2-9637-5BC8CD6EF887}"/>
              </c:ext>
            </c:extLst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6E-46D2-9637-5BC8CD6EF887}"/>
              </c:ext>
            </c:extLst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6E-46D2-9637-5BC8CD6EF88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D28CC0A-4799-4531-8217-BF8B051B804D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52306375-7A20-472F-8A66-3606E06130CF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E6E-46D2-9637-5BC8CD6EF88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EC88B0A-5E38-4DA2-88C6-EB8A82B685FC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40CB0E91-0707-4DCA-9325-854A0AA33F33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E6E-46D2-9637-5BC8CD6EF887}"/>
                </c:ext>
              </c:extLst>
            </c:dLbl>
            <c:dLbl>
              <c:idx val="2"/>
              <c:layout>
                <c:manualLayout>
                  <c:x val="9.1232904266220591E-2"/>
                  <c:y val="0.174193634349338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6E-46D2-9637-5BC8CD6EF88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71BC41-C5AE-4BF4-BC0C-9CE626D6F785}" type="CATEGORYNAME">
                      <a:rPr lang="en-US"/>
                      <a:pPr/>
                      <a:t>[]</a:t>
                    </a:fld>
                    <a:r>
                      <a:rPr lang="en-US" baseline="0"/>
                      <a:t>
</a:t>
                    </a:r>
                    <a:fld id="{369A1888-9183-4A4D-92DC-BFA9D1035A2D}" type="VALUE">
                      <a:rPr lang="en-US" baseline="0"/>
                      <a:pPr/>
                      <a:t>[]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E6E-46D2-9637-5BC8CD6EF88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Resultados!$C$9:$C$12</c:f>
              <c:strCache>
                <c:ptCount val="4"/>
                <c:pt idx="0">
                  <c:v>Fuentes fijas</c:v>
                </c:pt>
                <c:pt idx="1">
                  <c:v>Otros Consumos</c:v>
                </c:pt>
                <c:pt idx="2">
                  <c:v>Extintores</c:v>
                </c:pt>
                <c:pt idx="3">
                  <c:v>Gases refrigerantes</c:v>
                </c:pt>
              </c:strCache>
            </c:strRef>
          </c:cat>
          <c:val>
            <c:numRef>
              <c:f>Resultados!$J$9:$J$12</c:f>
              <c:numCache>
                <c:formatCode>0.00%</c:formatCode>
                <c:ptCount val="4"/>
                <c:pt idx="0">
                  <c:v>0.16528409656158782</c:v>
                </c:pt>
                <c:pt idx="1">
                  <c:v>8.7486363193750181E-4</c:v>
                </c:pt>
                <c:pt idx="2">
                  <c:v>2.6290656676198308E-3</c:v>
                </c:pt>
                <c:pt idx="3">
                  <c:v>0.83121197413885484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E6E-46D2-9637-5BC8CD6EF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129352</xdr:colOff>
      <xdr:row>0</xdr:row>
      <xdr:rowOff>1</xdr:rowOff>
    </xdr:from>
    <xdr:to>
      <xdr:col>2</xdr:col>
      <xdr:colOff>870185</xdr:colOff>
      <xdr:row>4</xdr:row>
      <xdr:rowOff>23148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EA59A4F6-C683-EB89-5638-C42CA499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82" y="1"/>
          <a:ext cx="740833" cy="681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234127</xdr:colOff>
      <xdr:row>0</xdr:row>
      <xdr:rowOff>38101</xdr:rowOff>
    </xdr:from>
    <xdr:to>
      <xdr:col>3</xdr:col>
      <xdr:colOff>39146</xdr:colOff>
      <xdr:row>3</xdr:row>
      <xdr:rowOff>142875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73E794FC-1ECD-4288-8171-DA1D37C2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02" y="38101"/>
          <a:ext cx="786094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129352</xdr:colOff>
      <xdr:row>0</xdr:row>
      <xdr:rowOff>1</xdr:rowOff>
    </xdr:from>
    <xdr:to>
      <xdr:col>2</xdr:col>
      <xdr:colOff>870185</xdr:colOff>
      <xdr:row>4</xdr:row>
      <xdr:rowOff>23148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A9B0DDF8-30BE-4A9E-9682-D723FFEC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127" y="1"/>
          <a:ext cx="740833" cy="670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129352</xdr:colOff>
      <xdr:row>0</xdr:row>
      <xdr:rowOff>1</xdr:rowOff>
    </xdr:from>
    <xdr:to>
      <xdr:col>2</xdr:col>
      <xdr:colOff>870185</xdr:colOff>
      <xdr:row>4</xdr:row>
      <xdr:rowOff>23148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2A485A0F-00BA-49D3-A303-A72170A8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127" y="1"/>
          <a:ext cx="740833" cy="670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523875</xdr:colOff>
      <xdr:row>14</xdr:row>
      <xdr:rowOff>23812</xdr:rowOff>
    </xdr:from>
    <xdr:to>
      <xdr:col>14</xdr:col>
      <xdr:colOff>66675</xdr:colOff>
      <xdr:row>31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451B98F-7A77-E995-81F3-28D690978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57151</xdr:rowOff>
    </xdr:from>
    <xdr:to>
      <xdr:col>2</xdr:col>
      <xdr:colOff>689798</xdr:colOff>
      <xdr:row>3</xdr:row>
      <xdr:rowOff>156498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88C11313-6AAD-432C-BFA5-4B1BF7C6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7151"/>
          <a:ext cx="946973" cy="670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129352</xdr:colOff>
      <xdr:row>0</xdr:row>
      <xdr:rowOff>1</xdr:rowOff>
    </xdr:from>
    <xdr:to>
      <xdr:col>2</xdr:col>
      <xdr:colOff>870185</xdr:colOff>
      <xdr:row>3</xdr:row>
      <xdr:rowOff>127923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8F665D35-9EAC-4C63-B00D-AE251FC7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127" y="1"/>
          <a:ext cx="740833" cy="670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129352</xdr:colOff>
      <xdr:row>0</xdr:row>
      <xdr:rowOff>1</xdr:rowOff>
    </xdr:from>
    <xdr:to>
      <xdr:col>2</xdr:col>
      <xdr:colOff>870185</xdr:colOff>
      <xdr:row>3</xdr:row>
      <xdr:rowOff>99348</xdr:rowOff>
    </xdr:to>
    <xdr:pic>
      <xdr:nvPicPr>
        <xdr:cNvPr id="4" name="Imagen 3" descr="CO2CERO">
          <a:extLst>
            <a:ext uri="{FF2B5EF4-FFF2-40B4-BE49-F238E27FC236}">
              <a16:creationId xmlns:a16="http://schemas.microsoft.com/office/drawing/2014/main" id="{1E56E74C-09EC-4C9A-AEE8-2AE751EF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127" y="1"/>
          <a:ext cx="740833" cy="670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446852</xdr:colOff>
      <xdr:row>0</xdr:row>
      <xdr:rowOff>0</xdr:rowOff>
    </xdr:from>
    <xdr:to>
      <xdr:col>2</xdr:col>
      <xdr:colOff>1187685</xdr:colOff>
      <xdr:row>4</xdr:row>
      <xdr:rowOff>23147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7117EACD-D0B6-43A1-AFA4-296967AD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82" y="0"/>
          <a:ext cx="740833" cy="681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117594</xdr:colOff>
      <xdr:row>6</xdr:row>
      <xdr:rowOff>94077</xdr:rowOff>
    </xdr:from>
    <xdr:to>
      <xdr:col>17</xdr:col>
      <xdr:colOff>799629</xdr:colOff>
      <xdr:row>24</xdr:row>
      <xdr:rowOff>152873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9EACD2BA-075C-410A-890D-6B48D8EEC5AF}"/>
            </a:ext>
            <a:ext uri="{147F2762-F138-4A5C-976F-8EAC2B608ADB}">
              <a16:predDERef xmlns:a16="http://schemas.microsoft.com/office/drawing/2014/main" pred="{E775D281-A5B1-444F-9249-4DCCD9881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23520</xdr:colOff>
      <xdr:row>25</xdr:row>
      <xdr:rowOff>47039</xdr:rowOff>
    </xdr:from>
    <xdr:to>
      <xdr:col>18</xdr:col>
      <xdr:colOff>823148</xdr:colOff>
      <xdr:row>35</xdr:row>
      <xdr:rowOff>152871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AECBD9F-9875-4C45-803A-1CF8754CF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129352</xdr:colOff>
      <xdr:row>0</xdr:row>
      <xdr:rowOff>1</xdr:rowOff>
    </xdr:from>
    <xdr:to>
      <xdr:col>2</xdr:col>
      <xdr:colOff>870185</xdr:colOff>
      <xdr:row>3</xdr:row>
      <xdr:rowOff>127923</xdr:rowOff>
    </xdr:to>
    <xdr:pic>
      <xdr:nvPicPr>
        <xdr:cNvPr id="3" name="Imagen 2" descr="CO2CERO">
          <a:extLst>
            <a:ext uri="{FF2B5EF4-FFF2-40B4-BE49-F238E27FC236}">
              <a16:creationId xmlns:a16="http://schemas.microsoft.com/office/drawing/2014/main" id="{8B4A4128-C31E-46B8-80AE-839D9AC9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227" y="1"/>
          <a:ext cx="740833" cy="613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234127</xdr:colOff>
      <xdr:row>0</xdr:row>
      <xdr:rowOff>38101</xdr:rowOff>
    </xdr:from>
    <xdr:to>
      <xdr:col>2</xdr:col>
      <xdr:colOff>736835</xdr:colOff>
      <xdr:row>4</xdr:row>
      <xdr:rowOff>4098</xdr:rowOff>
    </xdr:to>
    <xdr:pic>
      <xdr:nvPicPr>
        <xdr:cNvPr id="2" name="Imagen 1" descr="CO2CERO">
          <a:extLst>
            <a:ext uri="{FF2B5EF4-FFF2-40B4-BE49-F238E27FC236}">
              <a16:creationId xmlns:a16="http://schemas.microsoft.com/office/drawing/2014/main" id="{171D30E7-EE8A-4FE9-836D-7E306A87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02" y="38101"/>
          <a:ext cx="740833" cy="613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jpe\OneDrive\Escritorio\Herramienta%20GEI%20ISO%2014064-1%202020%20V1.xlsx" TargetMode="External"/><Relationship Id="rId1" Type="http://schemas.openxmlformats.org/officeDocument/2006/relationships/externalLinkPath" Target="https://d.docs.live.net/Users/majpe/OneDrive/Escritorio/Herramienta%20GEI%20ISO%2014064-1%202020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ndre/Downloads/2211_Herramienta%20GEI%20GHG%20Protoco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D_Combustibles"/>
      <sheetName val="por maquina"/>
      <sheetName val="datos"/>
      <sheetName val="ED_Extintores y Refrigerantes"/>
      <sheetName val="ED_Tratamiento Aguas Residuales"/>
      <sheetName val="EI_Energía electrica"/>
      <sheetName val="EI_Transporte tercerizado"/>
      <sheetName val="EI_Residuos"/>
      <sheetName val="Resultados"/>
      <sheetName val="FE"/>
      <sheetName val="PCG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7">
          <cell r="B67" t="str">
            <v>Acetileno</v>
          </cell>
          <cell r="C67">
            <v>0.2</v>
          </cell>
          <cell r="D67" t="str">
            <v>kg</v>
          </cell>
        </row>
        <row r="68">
          <cell r="B68" t="str">
            <v>Aceites lubricantes</v>
          </cell>
          <cell r="C68">
            <v>0.5</v>
          </cell>
          <cell r="D68" t="str">
            <v>gal</v>
          </cell>
        </row>
        <row r="69">
          <cell r="B69" t="str">
            <v>Grasa Lubricante</v>
          </cell>
          <cell r="C69">
            <v>0.5</v>
          </cell>
          <cell r="D69" t="str">
            <v>kg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1_Combustibles"/>
      <sheetName val="A1_Extintores y Refrigerantes"/>
      <sheetName val="A1_Tratamiento Aguas Residuales"/>
      <sheetName val="A2_Energía electrica"/>
      <sheetName val="EI_Transporte Tercerizado"/>
      <sheetName val="EI_Transporte vuelos"/>
      <sheetName val="ED_Materias primas"/>
      <sheetName val="EI_Residuos"/>
      <sheetName val="Resultados"/>
      <sheetName val="FE"/>
      <sheetName val="PCG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G8" t="str">
            <v>CO2</v>
          </cell>
          <cell r="H8">
            <v>1</v>
          </cell>
          <cell r="I8" t="str">
            <v>AR6</v>
          </cell>
          <cell r="J8">
            <v>0.5</v>
          </cell>
        </row>
        <row r="9">
          <cell r="G9" t="str">
            <v>HCFC 123</v>
          </cell>
          <cell r="H9">
            <v>79</v>
          </cell>
          <cell r="I9" t="str">
            <v>AR6</v>
          </cell>
          <cell r="J9">
            <v>0.5</v>
          </cell>
        </row>
      </sheetData>
      <sheetData sheetId="11" refreshError="1">
        <row r="7">
          <cell r="G7" t="str">
            <v>No. Datos</v>
          </cell>
          <cell r="H7" t="str">
            <v>Factor T</v>
          </cell>
        </row>
        <row r="8">
          <cell r="C8" t="str">
            <v>Gramos</v>
          </cell>
          <cell r="D8">
            <v>9.9999999999999995E-7</v>
          </cell>
          <cell r="G8">
            <v>0</v>
          </cell>
          <cell r="H8">
            <v>0</v>
          </cell>
        </row>
        <row r="9">
          <cell r="C9" t="str">
            <v>Libras</v>
          </cell>
          <cell r="D9">
            <v>4.53592E-4</v>
          </cell>
          <cell r="G9">
            <v>2</v>
          </cell>
          <cell r="H9">
            <v>12.71</v>
          </cell>
        </row>
        <row r="10">
          <cell r="C10" t="str">
            <v>Kilogramos</v>
          </cell>
          <cell r="D10">
            <v>1E-3</v>
          </cell>
          <cell r="G10">
            <v>3</v>
          </cell>
          <cell r="H10">
            <v>4.3</v>
          </cell>
        </row>
        <row r="11">
          <cell r="C11" t="str">
            <v>Tonelada</v>
          </cell>
          <cell r="D11">
            <v>1</v>
          </cell>
          <cell r="G11">
            <v>4</v>
          </cell>
          <cell r="H11">
            <v>3.18</v>
          </cell>
        </row>
        <row r="12">
          <cell r="G12">
            <v>5</v>
          </cell>
          <cell r="H12">
            <v>2.78</v>
          </cell>
        </row>
        <row r="13">
          <cell r="G13">
            <v>6</v>
          </cell>
          <cell r="H13">
            <v>2.57</v>
          </cell>
        </row>
        <row r="14">
          <cell r="G14">
            <v>7</v>
          </cell>
          <cell r="H14">
            <v>2.4500000000000002</v>
          </cell>
        </row>
        <row r="15">
          <cell r="G15">
            <v>8</v>
          </cell>
          <cell r="H15">
            <v>2.36</v>
          </cell>
        </row>
        <row r="16">
          <cell r="G16">
            <v>9</v>
          </cell>
          <cell r="H16">
            <v>2.31</v>
          </cell>
        </row>
        <row r="17">
          <cell r="G17">
            <v>10</v>
          </cell>
          <cell r="H17">
            <v>2.2599999999999998</v>
          </cell>
        </row>
        <row r="18">
          <cell r="G18">
            <v>11</v>
          </cell>
          <cell r="H18">
            <v>2.23</v>
          </cell>
        </row>
        <row r="19">
          <cell r="G19">
            <v>12</v>
          </cell>
          <cell r="H19">
            <v>2.2000000000000002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ipcc-nggip.iges.or.jp/public/2019rf/pdf/3_Volume3/19R_V3_Ch07_ODS_Substitutes.pdf" TargetMode="External"/><Relationship Id="rId1" Type="http://schemas.openxmlformats.org/officeDocument/2006/relationships/hyperlink" Target="https://ghgprotocol.org/sites/default/files/ghg-uncertainty.pdf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ghgprotocol.org/calculation-tools" TargetMode="External"/><Relationship Id="rId2" Type="http://schemas.openxmlformats.org/officeDocument/2006/relationships/hyperlink" Target="https://www1.upme.gov.co/siame/Paginas/calculo-factor-de-emision-de-Co2-del-SIN.aspx" TargetMode="External"/><Relationship Id="rId1" Type="http://schemas.openxmlformats.org/officeDocument/2006/relationships/hyperlink" Target="http://www.upme.gov.co/calculadora_emisiones/aplicacion/Informe_Final_FECOC.pdf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ghgprotocol.org/sites/default/files/ghgp/Global-Warming-Potential-Values%20%28Feb%2016%202016%29_1.pdf" TargetMode="External"/><Relationship Id="rId1" Type="http://schemas.openxmlformats.org/officeDocument/2006/relationships/hyperlink" Target="https://www.ipcc.ch/report/ar6/wg1/downloads/report/IPCC_AR6_WGI_Chapter07_SM.pdf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FACE-1ED5-4D2B-8717-B81A2925D3F3}">
  <dimension ref="B2:AT127"/>
  <sheetViews>
    <sheetView topLeftCell="Q107" zoomScaleNormal="100" workbookViewId="0">
      <selection activeCell="U53" sqref="U53"/>
    </sheetView>
  </sheetViews>
  <sheetFormatPr defaultColWidth="11.42578125" defaultRowHeight="12.75"/>
  <cols>
    <col min="1" max="1" width="4.42578125" style="16" customWidth="1"/>
    <col min="2" max="2" width="6" style="16" customWidth="1"/>
    <col min="3" max="3" width="15.140625" style="16" customWidth="1"/>
    <col min="4" max="4" width="16.42578125" style="16" customWidth="1"/>
    <col min="5" max="5" width="27.28515625" style="16" customWidth="1"/>
    <col min="6" max="6" width="13.7109375" style="16" customWidth="1"/>
    <col min="7" max="7" width="15" style="16" customWidth="1"/>
    <col min="8" max="8" width="15.28515625" style="16" customWidth="1"/>
    <col min="9" max="18" width="12.5703125" style="16" customWidth="1"/>
    <col min="19" max="19" width="16.7109375" style="16" customWidth="1"/>
    <col min="20" max="20" width="18.140625" style="16" customWidth="1"/>
    <col min="21" max="21" width="15.42578125" style="16" customWidth="1"/>
    <col min="22" max="22" width="13.28515625" style="16" customWidth="1"/>
    <col min="23" max="23" width="14.140625" style="16" customWidth="1"/>
    <col min="24" max="30" width="11.42578125" style="16"/>
    <col min="31" max="31" width="12.28515625" style="16" customWidth="1"/>
    <col min="32" max="38" width="17.140625" style="16" customWidth="1"/>
    <col min="39" max="44" width="11.42578125" style="16"/>
    <col min="45" max="45" width="11.5703125" style="16" customWidth="1"/>
    <col min="46" max="16384" width="11.42578125" style="16"/>
  </cols>
  <sheetData>
    <row r="2" spans="2:38" s="43" customFormat="1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2:38" s="43" customFormat="1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6" spans="2:38">
      <c r="B6" s="2" t="s">
        <v>1</v>
      </c>
      <c r="C6" s="191" t="s">
        <v>2</v>
      </c>
      <c r="D6" s="192"/>
      <c r="E6" s="192"/>
      <c r="F6" s="193"/>
    </row>
    <row r="8" spans="2:38" ht="15" hidden="1">
      <c r="B8" s="2" t="s">
        <v>3</v>
      </c>
      <c r="C8" s="197" t="s">
        <v>4</v>
      </c>
      <c r="D8" s="197"/>
      <c r="E8" s="197"/>
      <c r="F8" s="197"/>
      <c r="H8"/>
    </row>
    <row r="9" spans="2:38" hidden="1">
      <c r="C9" s="196" t="s">
        <v>5</v>
      </c>
      <c r="D9" s="196"/>
      <c r="E9" s="196"/>
      <c r="F9" s="196"/>
    </row>
    <row r="10" spans="2:38" ht="42.75" hidden="1" customHeight="1">
      <c r="C10" s="6" t="s">
        <v>6</v>
      </c>
      <c r="D10" s="7" t="s">
        <v>7</v>
      </c>
      <c r="E10" s="7" t="s">
        <v>8</v>
      </c>
      <c r="F10" s="7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22</v>
      </c>
      <c r="T10" s="5" t="s">
        <v>23</v>
      </c>
      <c r="U10" s="5" t="s">
        <v>24</v>
      </c>
      <c r="V10" s="5" t="s">
        <v>25</v>
      </c>
      <c r="W10" s="5" t="s">
        <v>26</v>
      </c>
      <c r="X10" s="5" t="s">
        <v>27</v>
      </c>
      <c r="Y10" s="5" t="s">
        <v>28</v>
      </c>
      <c r="Z10" s="5" t="s">
        <v>29</v>
      </c>
      <c r="AA10" s="5" t="s">
        <v>30</v>
      </c>
      <c r="AB10" s="5" t="s">
        <v>31</v>
      </c>
      <c r="AC10" s="5" t="s">
        <v>32</v>
      </c>
      <c r="AD10" s="5" t="s">
        <v>33</v>
      </c>
      <c r="AE10" s="5" t="s">
        <v>34</v>
      </c>
      <c r="AF10" s="5" t="s">
        <v>35</v>
      </c>
      <c r="AG10" s="5" t="s">
        <v>36</v>
      </c>
      <c r="AH10" s="5" t="s">
        <v>37</v>
      </c>
      <c r="AI10" s="5" t="s">
        <v>38</v>
      </c>
      <c r="AJ10" s="5" t="s">
        <v>39</v>
      </c>
      <c r="AK10" s="5" t="s">
        <v>40</v>
      </c>
      <c r="AL10" s="5" t="s">
        <v>41</v>
      </c>
    </row>
    <row r="11" spans="2:38" ht="41.25" hidden="1" customHeight="1">
      <c r="C11" s="11"/>
      <c r="D11" s="11"/>
      <c r="E11" s="11"/>
      <c r="F11" s="1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>
        <f>SUM(G11:R11)</f>
        <v>0</v>
      </c>
      <c r="T11" s="18" t="str">
        <f>IFERROR(VLOOKUP(F11,Anexo!$C$8:$D$11,2,FALSE),"")</f>
        <v/>
      </c>
      <c r="U11" s="18" t="str">
        <f>IFERROR(S11*T11,"")</f>
        <v/>
      </c>
      <c r="V11" s="18" t="str">
        <f>IFERROR(VLOOKUP(E11,FE!$B$9:$E$33,4,FALSE),"")</f>
        <v/>
      </c>
      <c r="W11" s="18" t="str">
        <f>IFERROR(VLOOKUP(E11,FE!$B$9:$F$33,5,FALSE),"")</f>
        <v/>
      </c>
      <c r="X11" s="18" t="str">
        <f>IFERROR(VLOOKUP(E11,FE!$B$9:$G$33,6,FALSE),"")</f>
        <v/>
      </c>
      <c r="Y11" s="18" t="str">
        <f>IFERROR(VLOOKUP(E11,FE!$B$9:$G$33,2,FALSE),"")</f>
        <v/>
      </c>
      <c r="Z11" s="18" t="str">
        <f>IFERROR(IF(Y11="No",0,U11*V11/1000),"")</f>
        <v/>
      </c>
      <c r="AA11" s="18">
        <f>IFERROR(IF(Y11="No",U11*V11/1000,0),"")</f>
        <v>0</v>
      </c>
      <c r="AB11" s="18" t="str">
        <f>IFERROR(U11*W11/1000,"")</f>
        <v/>
      </c>
      <c r="AC11" s="18" t="str">
        <f>IFERROR(U11*X11/1000,"")</f>
        <v/>
      </c>
      <c r="AD11" s="18" t="str">
        <f>IFERROR(AA11+(IF(Y11="No",AB11*PCG!$D$9,AB11*PCG!$D$10))+ED_Combustibles!AC11*PCG!$D$11,"")</f>
        <v/>
      </c>
      <c r="AE11" s="18">
        <f>COUNTIF(G11:R11,"&gt;0")</f>
        <v>0</v>
      </c>
      <c r="AF11" s="18">
        <f>IF(AE11&gt;1,AVERAGE(G11:R11),0)</f>
        <v>0</v>
      </c>
      <c r="AG11" s="18">
        <f>IF(AE11&gt;1,STDEV(G11:R11),0)</f>
        <v>0</v>
      </c>
      <c r="AH11" s="18">
        <f>IF(AE11&gt;1,VLOOKUP(AE11,Anexo!$G$7:$H$19,2,FALSE),0)</f>
        <v>0</v>
      </c>
      <c r="AI11" s="30">
        <f>IF(AE11&gt;1,1-((AF11-((AG11*AH11)/(SQRT(AE11))))/AF11),AJ11)</f>
        <v>0</v>
      </c>
      <c r="AJ11" s="30">
        <f>IF(AE11&gt;0,VLOOKUP(E11,FE!$B$8:$D$33,3,FALSE),0)</f>
        <v>0</v>
      </c>
      <c r="AK11" s="30">
        <f>SQRT((AI11*AI11)+(AJ11*AJ11))</f>
        <v>0</v>
      </c>
      <c r="AL11" s="18">
        <f>IFERROR((AD11*AK11)^2,0)</f>
        <v>0</v>
      </c>
    </row>
    <row r="12" spans="2:38" hidden="1">
      <c r="C12" s="11"/>
      <c r="D12" s="11"/>
      <c r="E12" s="11"/>
      <c r="F12" s="1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>
        <f t="shared" ref="S12:S19" si="0">SUM(G12:R12)</f>
        <v>0</v>
      </c>
      <c r="T12" s="18" t="str">
        <f>IFERROR(VLOOKUP(F12,Anexo!$C$8:$D$11,2,FALSE),"")</f>
        <v/>
      </c>
      <c r="U12" s="18" t="str">
        <f t="shared" ref="U12:U19" si="1">IFERROR(S12*T12,"")</f>
        <v/>
      </c>
      <c r="V12" s="18" t="str">
        <f>IFERROR(VLOOKUP(E12,FE!$B$9:$E$33,4,FALSE),"")</f>
        <v/>
      </c>
      <c r="W12" s="18" t="str">
        <f>IFERROR(VLOOKUP(E12,FE!$B$9:$F$33,5,FALSE),"")</f>
        <v/>
      </c>
      <c r="X12" s="18" t="str">
        <f>IFERROR(VLOOKUP(E12,FE!$B$9:$G$33,6,FALSE),"")</f>
        <v/>
      </c>
      <c r="Y12" s="18" t="str">
        <f>IFERROR(VLOOKUP(E12,FE!$B$9:$G$33,2,FALSE),"")</f>
        <v/>
      </c>
      <c r="Z12" s="18" t="str">
        <f t="shared" ref="Z12:Z19" si="2">IFERROR(IF(Y12="No",0,U12*V12/1000),"")</f>
        <v/>
      </c>
      <c r="AA12" s="18">
        <f t="shared" ref="AA12:AA19" si="3">IFERROR(IF(Y12="No",U12*V12/1000,0),"")</f>
        <v>0</v>
      </c>
      <c r="AB12" s="18" t="str">
        <f t="shared" ref="AB12:AB19" si="4">IFERROR(U12*W12/1000,"")</f>
        <v/>
      </c>
      <c r="AC12" s="18" t="str">
        <f t="shared" ref="AC12:AC19" si="5">IFERROR(U12*X12/1000,"")</f>
        <v/>
      </c>
      <c r="AD12" s="18" t="str">
        <f>IFERROR(AA12+(IF(Y12="No",AB12*PCG!$D$9,AB12*PCG!$D$10))+ED_Combustibles!AC12*PCG!$D$11,"")</f>
        <v/>
      </c>
      <c r="AE12" s="18">
        <f t="shared" ref="AE12:AE19" si="6">COUNTIF(G12:R12,"&gt;0")</f>
        <v>0</v>
      </c>
      <c r="AF12" s="18">
        <f t="shared" ref="AF12:AF19" si="7">IF(AE12&gt;1,AVERAGE(G12:R12),0)</f>
        <v>0</v>
      </c>
      <c r="AG12" s="18">
        <f t="shared" ref="AG12:AG19" si="8">IF(AE12&gt;1,STDEV(G12:R12),0)</f>
        <v>0</v>
      </c>
      <c r="AH12" s="18">
        <f>IF(AE12&gt;1,VLOOKUP(AE12,Anexo!$G$7:$H$19,2,FALSE),0)</f>
        <v>0</v>
      </c>
      <c r="AI12" s="30">
        <f t="shared" ref="AI12:AI19" si="9">IF(AE12&gt;1,1-((AF12-((AG12*AH12)/(SQRT(AE12))))/AF12),AJ12)</f>
        <v>0</v>
      </c>
      <c r="AJ12" s="30">
        <f>IF(AE12&gt;0,VLOOKUP(E12,FE!$B$8:$D$33,3,FALSE),0)</f>
        <v>0</v>
      </c>
      <c r="AK12" s="30">
        <f t="shared" ref="AK12:AK19" si="10">SQRT((AI12*AI12)+(AJ12*AJ12))</f>
        <v>0</v>
      </c>
      <c r="AL12" s="18">
        <f t="shared" ref="AL12:AL19" si="11">IFERROR((AD12*AK12)^2,0)</f>
        <v>0</v>
      </c>
    </row>
    <row r="13" spans="2:38" hidden="1">
      <c r="C13" s="11"/>
      <c r="D13" s="11"/>
      <c r="E13" s="11"/>
      <c r="F13" s="1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>
        <f t="shared" si="0"/>
        <v>0</v>
      </c>
      <c r="T13" s="18" t="str">
        <f>IFERROR(VLOOKUP(F13,Anexo!$C$8:$D$11,2,FALSE),"")</f>
        <v/>
      </c>
      <c r="U13" s="18" t="str">
        <f t="shared" si="1"/>
        <v/>
      </c>
      <c r="V13" s="18" t="str">
        <f>IFERROR(VLOOKUP(E13,FE!$B$9:$E$33,4,FALSE),"")</f>
        <v/>
      </c>
      <c r="W13" s="18" t="str">
        <f>IFERROR(VLOOKUP(E13,FE!$B$9:$F$33,5,FALSE),"")</f>
        <v/>
      </c>
      <c r="X13" s="18" t="str">
        <f>IFERROR(VLOOKUP(E13,FE!$B$9:$G$33,6,FALSE),"")</f>
        <v/>
      </c>
      <c r="Y13" s="18" t="str">
        <f>IFERROR(VLOOKUP(E13,FE!$B$9:$G$33,2,FALSE),"")</f>
        <v/>
      </c>
      <c r="Z13" s="18" t="str">
        <f t="shared" si="2"/>
        <v/>
      </c>
      <c r="AA13" s="18">
        <f t="shared" si="3"/>
        <v>0</v>
      </c>
      <c r="AB13" s="18" t="str">
        <f t="shared" si="4"/>
        <v/>
      </c>
      <c r="AC13" s="18" t="str">
        <f t="shared" si="5"/>
        <v/>
      </c>
      <c r="AD13" s="18" t="str">
        <f>IFERROR(AA13+(IF(Y13="No",AB13*PCG!$D$9,AB13*PCG!$D$10))+ED_Combustibles!AC13*PCG!$D$11,"")</f>
        <v/>
      </c>
      <c r="AE13" s="18">
        <f t="shared" si="6"/>
        <v>0</v>
      </c>
      <c r="AF13" s="18">
        <f t="shared" si="7"/>
        <v>0</v>
      </c>
      <c r="AG13" s="18">
        <f t="shared" si="8"/>
        <v>0</v>
      </c>
      <c r="AH13" s="18">
        <f>IF(AE13&gt;1,VLOOKUP(AE13,Anexo!$G$7:$H$19,2,FALSE),0)</f>
        <v>0</v>
      </c>
      <c r="AI13" s="30">
        <f t="shared" si="9"/>
        <v>0</v>
      </c>
      <c r="AJ13" s="30">
        <f>IF(AE13&gt;0,VLOOKUP(E13,FE!$B$8:$D$33,3,FALSE),0)</f>
        <v>0</v>
      </c>
      <c r="AK13" s="30">
        <f t="shared" si="10"/>
        <v>0</v>
      </c>
      <c r="AL13" s="18">
        <f t="shared" si="11"/>
        <v>0</v>
      </c>
    </row>
    <row r="14" spans="2:38" hidden="1">
      <c r="C14" s="11"/>
      <c r="D14" s="11"/>
      <c r="E14" s="11"/>
      <c r="F14" s="1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>
        <f t="shared" si="0"/>
        <v>0</v>
      </c>
      <c r="T14" s="18" t="str">
        <f>IFERROR(VLOOKUP(F14,Anexo!$C$8:$D$11,2,FALSE),"")</f>
        <v/>
      </c>
      <c r="U14" s="18" t="str">
        <f t="shared" si="1"/>
        <v/>
      </c>
      <c r="V14" s="18" t="str">
        <f>IFERROR(VLOOKUP(E14,FE!$B$9:$E$33,4,FALSE),"")</f>
        <v/>
      </c>
      <c r="W14" s="18" t="str">
        <f>IFERROR(VLOOKUP(E14,FE!$B$9:$F$33,5,FALSE),"")</f>
        <v/>
      </c>
      <c r="X14" s="18" t="str">
        <f>IFERROR(VLOOKUP(E14,FE!$B$9:$G$33,6,FALSE),"")</f>
        <v/>
      </c>
      <c r="Y14" s="18" t="str">
        <f>IFERROR(VLOOKUP(E14,FE!$B$9:$G$33,2,FALSE),"")</f>
        <v/>
      </c>
      <c r="Z14" s="18" t="str">
        <f t="shared" si="2"/>
        <v/>
      </c>
      <c r="AA14" s="18">
        <f t="shared" si="3"/>
        <v>0</v>
      </c>
      <c r="AB14" s="18" t="str">
        <f t="shared" si="4"/>
        <v/>
      </c>
      <c r="AC14" s="18" t="str">
        <f t="shared" si="5"/>
        <v/>
      </c>
      <c r="AD14" s="18" t="str">
        <f>IFERROR(AA14+(IF(Y14="No",AB14*PCG!$D$9,AB14*PCG!$D$10))+ED_Combustibles!AC14*PCG!$D$11,"")</f>
        <v/>
      </c>
      <c r="AE14" s="18">
        <f t="shared" si="6"/>
        <v>0</v>
      </c>
      <c r="AF14" s="18">
        <f t="shared" si="7"/>
        <v>0</v>
      </c>
      <c r="AG14" s="18">
        <f t="shared" si="8"/>
        <v>0</v>
      </c>
      <c r="AH14" s="18">
        <f>IF(AE14&gt;1,VLOOKUP(AE14,Anexo!$G$7:$H$19,2,FALSE),0)</f>
        <v>0</v>
      </c>
      <c r="AI14" s="30">
        <f t="shared" si="9"/>
        <v>0</v>
      </c>
      <c r="AJ14" s="30">
        <f>IF(AE14&gt;0,VLOOKUP(E14,FE!$B$8:$D$33,3,FALSE),0)</f>
        <v>0</v>
      </c>
      <c r="AK14" s="30">
        <f t="shared" si="10"/>
        <v>0</v>
      </c>
      <c r="AL14" s="18">
        <f t="shared" si="11"/>
        <v>0</v>
      </c>
    </row>
    <row r="15" spans="2:38" hidden="1">
      <c r="C15" s="11"/>
      <c r="D15" s="11"/>
      <c r="E15" s="11"/>
      <c r="F15" s="11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>
        <f t="shared" si="0"/>
        <v>0</v>
      </c>
      <c r="T15" s="18" t="str">
        <f>IFERROR(VLOOKUP(F15,Anexo!$C$8:$D$11,2,FALSE),"")</f>
        <v/>
      </c>
      <c r="U15" s="18" t="str">
        <f t="shared" si="1"/>
        <v/>
      </c>
      <c r="V15" s="18" t="str">
        <f>IFERROR(VLOOKUP(E15,FE!$B$9:$E$33,4,FALSE),"")</f>
        <v/>
      </c>
      <c r="W15" s="18" t="str">
        <f>IFERROR(VLOOKUP(E15,FE!$B$9:$F$33,5,FALSE),"")</f>
        <v/>
      </c>
      <c r="X15" s="18" t="str">
        <f>IFERROR(VLOOKUP(E15,FE!$B$9:$G$33,6,FALSE),"")</f>
        <v/>
      </c>
      <c r="Y15" s="18" t="str">
        <f>IFERROR(VLOOKUP(E15,FE!$B$9:$G$33,2,FALSE),"")</f>
        <v/>
      </c>
      <c r="Z15" s="18" t="str">
        <f t="shared" si="2"/>
        <v/>
      </c>
      <c r="AA15" s="18">
        <f t="shared" si="3"/>
        <v>0</v>
      </c>
      <c r="AB15" s="18" t="str">
        <f t="shared" si="4"/>
        <v/>
      </c>
      <c r="AC15" s="18" t="str">
        <f t="shared" si="5"/>
        <v/>
      </c>
      <c r="AD15" s="18" t="str">
        <f>IFERROR(AA15+(IF(Y15="No",AB15*PCG!$D$9,AB15*PCG!$D$10))+ED_Combustibles!AC15*PCG!$D$11,"")</f>
        <v/>
      </c>
      <c r="AE15" s="18">
        <f t="shared" si="6"/>
        <v>0</v>
      </c>
      <c r="AF15" s="18">
        <f t="shared" si="7"/>
        <v>0</v>
      </c>
      <c r="AG15" s="18">
        <f t="shared" si="8"/>
        <v>0</v>
      </c>
      <c r="AH15" s="18">
        <f>IF(AE15&gt;1,VLOOKUP(AE15,Anexo!$G$7:$H$19,2,FALSE),0)</f>
        <v>0</v>
      </c>
      <c r="AI15" s="30">
        <f t="shared" si="9"/>
        <v>0</v>
      </c>
      <c r="AJ15" s="30">
        <f>IF(AE15&gt;0,VLOOKUP(E15,FE!$B$8:$D$33,3,FALSE),0)</f>
        <v>0</v>
      </c>
      <c r="AK15" s="30">
        <f t="shared" si="10"/>
        <v>0</v>
      </c>
      <c r="AL15" s="18">
        <f t="shared" si="11"/>
        <v>0</v>
      </c>
    </row>
    <row r="16" spans="2:38" hidden="1">
      <c r="C16" s="11"/>
      <c r="D16" s="11"/>
      <c r="E16" s="11"/>
      <c r="F16" s="1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>
        <f t="shared" si="0"/>
        <v>0</v>
      </c>
      <c r="T16" s="18" t="str">
        <f>IFERROR(VLOOKUP(F16,Anexo!$C$8:$D$11,2,FALSE),"")</f>
        <v/>
      </c>
      <c r="U16" s="18" t="str">
        <f t="shared" si="1"/>
        <v/>
      </c>
      <c r="V16" s="18" t="str">
        <f>IFERROR(VLOOKUP(E16,FE!$B$9:$E$33,4,FALSE),"")</f>
        <v/>
      </c>
      <c r="W16" s="18" t="str">
        <f>IFERROR(VLOOKUP(E16,FE!$B$9:$F$33,5,FALSE),"")</f>
        <v/>
      </c>
      <c r="X16" s="18" t="str">
        <f>IFERROR(VLOOKUP(E16,FE!$B$9:$G$33,6,FALSE),"")</f>
        <v/>
      </c>
      <c r="Y16" s="18" t="str">
        <f>IFERROR(VLOOKUP(E16,FE!$B$9:$G$33,2,FALSE),"")</f>
        <v/>
      </c>
      <c r="Z16" s="18" t="str">
        <f t="shared" si="2"/>
        <v/>
      </c>
      <c r="AA16" s="18">
        <f t="shared" si="3"/>
        <v>0</v>
      </c>
      <c r="AB16" s="18" t="str">
        <f t="shared" si="4"/>
        <v/>
      </c>
      <c r="AC16" s="18" t="str">
        <f t="shared" si="5"/>
        <v/>
      </c>
      <c r="AD16" s="18" t="str">
        <f>IFERROR(AA16+(IF(Y16="No",AB16*PCG!$D$9,AB16*PCG!$D$10))+ED_Combustibles!AC16*PCG!$D$11,"")</f>
        <v/>
      </c>
      <c r="AE16" s="18">
        <f t="shared" si="6"/>
        <v>0</v>
      </c>
      <c r="AF16" s="18">
        <f t="shared" si="7"/>
        <v>0</v>
      </c>
      <c r="AG16" s="18">
        <f t="shared" si="8"/>
        <v>0</v>
      </c>
      <c r="AH16" s="18">
        <f>IF(AE16&gt;1,VLOOKUP(AE16,Anexo!$G$7:$H$19,2,FALSE),0)</f>
        <v>0</v>
      </c>
      <c r="AI16" s="30">
        <f t="shared" si="9"/>
        <v>0</v>
      </c>
      <c r="AJ16" s="30">
        <f>IF(AE16&gt;0,VLOOKUP(E16,FE!$B$8:$D$33,3,FALSE),0)</f>
        <v>0</v>
      </c>
      <c r="AK16" s="30">
        <f t="shared" si="10"/>
        <v>0</v>
      </c>
      <c r="AL16" s="18">
        <f t="shared" si="11"/>
        <v>0</v>
      </c>
    </row>
    <row r="17" spans="2:38" hidden="1">
      <c r="C17" s="11"/>
      <c r="D17" s="11"/>
      <c r="E17" s="11"/>
      <c r="F17" s="1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>
        <f t="shared" si="0"/>
        <v>0</v>
      </c>
      <c r="T17" s="18" t="str">
        <f>IFERROR(VLOOKUP(F17,Anexo!$C$8:$D$11,2,FALSE),"")</f>
        <v/>
      </c>
      <c r="U17" s="18" t="str">
        <f t="shared" si="1"/>
        <v/>
      </c>
      <c r="V17" s="18" t="str">
        <f>IFERROR(VLOOKUP(E17,FE!$B$9:$E$33,4,FALSE),"")</f>
        <v/>
      </c>
      <c r="W17" s="18" t="str">
        <f>IFERROR(VLOOKUP(E17,FE!$B$9:$F$33,5,FALSE),"")</f>
        <v/>
      </c>
      <c r="X17" s="18" t="str">
        <f>IFERROR(VLOOKUP(E17,FE!$B$9:$G$33,6,FALSE),"")</f>
        <v/>
      </c>
      <c r="Y17" s="18" t="str">
        <f>IFERROR(VLOOKUP(E17,FE!$B$9:$G$33,2,FALSE),"")</f>
        <v/>
      </c>
      <c r="Z17" s="18" t="str">
        <f t="shared" si="2"/>
        <v/>
      </c>
      <c r="AA17" s="18">
        <f t="shared" si="3"/>
        <v>0</v>
      </c>
      <c r="AB17" s="18" t="str">
        <f t="shared" si="4"/>
        <v/>
      </c>
      <c r="AC17" s="18" t="str">
        <f t="shared" si="5"/>
        <v/>
      </c>
      <c r="AD17" s="18" t="str">
        <f>IFERROR(AA17+(IF(Y17="No",AB17*PCG!$D$9,AB17*PCG!$D$10))+ED_Combustibles!AC17*PCG!$D$11,"")</f>
        <v/>
      </c>
      <c r="AE17" s="18">
        <f t="shared" si="6"/>
        <v>0</v>
      </c>
      <c r="AF17" s="18">
        <f t="shared" si="7"/>
        <v>0</v>
      </c>
      <c r="AG17" s="18">
        <f t="shared" si="8"/>
        <v>0</v>
      </c>
      <c r="AH17" s="18">
        <f>IF(AE17&gt;1,VLOOKUP(AE17,Anexo!$G$7:$H$19,2,FALSE),0)</f>
        <v>0</v>
      </c>
      <c r="AI17" s="30">
        <f t="shared" si="9"/>
        <v>0</v>
      </c>
      <c r="AJ17" s="30">
        <f>IF(AE17&gt;0,VLOOKUP(E17,FE!$B$8:$D$33,3,FALSE),0)</f>
        <v>0</v>
      </c>
      <c r="AK17" s="30">
        <f t="shared" si="10"/>
        <v>0</v>
      </c>
      <c r="AL17" s="18">
        <f t="shared" si="11"/>
        <v>0</v>
      </c>
    </row>
    <row r="18" spans="2:38" hidden="1">
      <c r="C18" s="11"/>
      <c r="D18" s="11"/>
      <c r="E18" s="11"/>
      <c r="F18" s="1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0"/>
        <v>0</v>
      </c>
      <c r="T18" s="18" t="str">
        <f>IFERROR(VLOOKUP(F18,Anexo!$C$8:$D$11,2,FALSE),"")</f>
        <v/>
      </c>
      <c r="U18" s="18" t="str">
        <f t="shared" si="1"/>
        <v/>
      </c>
      <c r="V18" s="18" t="str">
        <f>IFERROR(VLOOKUP(E18,FE!$B$9:$E$33,4,FALSE),"")</f>
        <v/>
      </c>
      <c r="W18" s="18" t="str">
        <f>IFERROR(VLOOKUP(E18,FE!$B$9:$F$33,5,FALSE),"")</f>
        <v/>
      </c>
      <c r="X18" s="18" t="str">
        <f>IFERROR(VLOOKUP(E18,FE!$B$9:$G$33,6,FALSE),"")</f>
        <v/>
      </c>
      <c r="Y18" s="18" t="str">
        <f>IFERROR(VLOOKUP(E18,FE!$B$9:$G$33,2,FALSE),"")</f>
        <v/>
      </c>
      <c r="Z18" s="18" t="str">
        <f t="shared" si="2"/>
        <v/>
      </c>
      <c r="AA18" s="18">
        <f t="shared" si="3"/>
        <v>0</v>
      </c>
      <c r="AB18" s="18" t="str">
        <f t="shared" si="4"/>
        <v/>
      </c>
      <c r="AC18" s="18" t="str">
        <f t="shared" si="5"/>
        <v/>
      </c>
      <c r="AD18" s="18" t="str">
        <f>IFERROR(AA18+(IF(Y18="No",AB18*PCG!$D$9,AB18*PCG!$D$10))+ED_Combustibles!AC18*PCG!$D$11,"")</f>
        <v/>
      </c>
      <c r="AE18" s="18">
        <f t="shared" si="6"/>
        <v>0</v>
      </c>
      <c r="AF18" s="18">
        <f t="shared" si="7"/>
        <v>0</v>
      </c>
      <c r="AG18" s="18">
        <f t="shared" si="8"/>
        <v>0</v>
      </c>
      <c r="AH18" s="18">
        <f>IF(AE18&gt;1,VLOOKUP(AE18,Anexo!$G$7:$H$19,2,FALSE),0)</f>
        <v>0</v>
      </c>
      <c r="AI18" s="30">
        <f t="shared" si="9"/>
        <v>0</v>
      </c>
      <c r="AJ18" s="30">
        <f>IF(AE18&gt;0,VLOOKUP(E18,FE!$B$8:$D$33,3,FALSE),0)</f>
        <v>0</v>
      </c>
      <c r="AK18" s="30">
        <f t="shared" si="10"/>
        <v>0</v>
      </c>
      <c r="AL18" s="18">
        <f t="shared" si="11"/>
        <v>0</v>
      </c>
    </row>
    <row r="19" spans="2:38" hidden="1">
      <c r="C19" s="11"/>
      <c r="D19" s="11"/>
      <c r="E19" s="11"/>
      <c r="F19" s="1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>
        <f t="shared" si="0"/>
        <v>0</v>
      </c>
      <c r="T19" s="18" t="str">
        <f>IFERROR(VLOOKUP(F19,Anexo!$C$8:$D$11,2,FALSE),"")</f>
        <v/>
      </c>
      <c r="U19" s="18" t="str">
        <f t="shared" si="1"/>
        <v/>
      </c>
      <c r="V19" s="18" t="str">
        <f>IFERROR(VLOOKUP(E19,FE!$B$9:$E$33,4,FALSE),"")</f>
        <v/>
      </c>
      <c r="W19" s="18" t="str">
        <f>IFERROR(VLOOKUP(E19,FE!$B$9:$F$33,5,FALSE),"")</f>
        <v/>
      </c>
      <c r="X19" s="18" t="str">
        <f>IFERROR(VLOOKUP(E19,FE!$B$9:$G$33,6,FALSE),"")</f>
        <v/>
      </c>
      <c r="Y19" s="18" t="str">
        <f>IFERROR(VLOOKUP(E19,FE!$B$9:$G$33,2,FALSE),"")</f>
        <v/>
      </c>
      <c r="Z19" s="18" t="str">
        <f t="shared" si="2"/>
        <v/>
      </c>
      <c r="AA19" s="18">
        <f t="shared" si="3"/>
        <v>0</v>
      </c>
      <c r="AB19" s="18" t="str">
        <f t="shared" si="4"/>
        <v/>
      </c>
      <c r="AC19" s="18" t="str">
        <f t="shared" si="5"/>
        <v/>
      </c>
      <c r="AD19" s="18" t="str">
        <f>IFERROR(AA19+(IF(Y19="No",AB19*PCG!$D$9,AB19*PCG!$D$10))+ED_Combustibles!AC19*PCG!$D$11,"")</f>
        <v/>
      </c>
      <c r="AE19" s="18">
        <f t="shared" si="6"/>
        <v>0</v>
      </c>
      <c r="AF19" s="18">
        <f t="shared" si="7"/>
        <v>0</v>
      </c>
      <c r="AG19" s="18">
        <f t="shared" si="8"/>
        <v>0</v>
      </c>
      <c r="AH19" s="18">
        <f>IF(AE19&gt;1,VLOOKUP(AE19,Anexo!$G$7:$H$19,2,FALSE),0)</f>
        <v>0</v>
      </c>
      <c r="AI19" s="30">
        <f t="shared" si="9"/>
        <v>0</v>
      </c>
      <c r="AJ19" s="30">
        <f>IF(AE19&gt;0,VLOOKUP(E19,FE!$B$8:$D$33,3,FALSE),0)</f>
        <v>0</v>
      </c>
      <c r="AK19" s="30">
        <f t="shared" si="10"/>
        <v>0</v>
      </c>
      <c r="AL19" s="18">
        <f t="shared" si="11"/>
        <v>0</v>
      </c>
    </row>
    <row r="20" spans="2:38" hidden="1"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>
        <f>SUM(S11:S19)</f>
        <v>0</v>
      </c>
      <c r="T20" s="19"/>
      <c r="U20" s="29">
        <f>SUM(U11:U19)</f>
        <v>0</v>
      </c>
      <c r="V20" s="19"/>
      <c r="W20" s="19"/>
      <c r="X20" s="19"/>
      <c r="Z20" s="29">
        <f>SUM(Z11:Z19)</f>
        <v>0</v>
      </c>
      <c r="AA20" s="29">
        <f>SUM(AA11:AA19)</f>
        <v>0</v>
      </c>
      <c r="AB20" s="29">
        <f>SUM(AB11:AB19)</f>
        <v>0</v>
      </c>
      <c r="AC20" s="29">
        <f>SUM(AC11:AC19)</f>
        <v>0</v>
      </c>
      <c r="AD20" s="29">
        <f>SUM(AD11:AD19)</f>
        <v>0</v>
      </c>
      <c r="AK20" s="31">
        <f>IF(AD20&gt;0,SQRT(SUM(AL11:AL19))/AD20,0)</f>
        <v>0</v>
      </c>
      <c r="AL20" s="29">
        <f>(AD20*AK20)^2</f>
        <v>0</v>
      </c>
    </row>
    <row r="21" spans="2:38" hidden="1"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38" hidden="1">
      <c r="B22" s="2" t="s">
        <v>42</v>
      </c>
      <c r="C22" s="197" t="s">
        <v>43</v>
      </c>
      <c r="D22" s="197"/>
      <c r="E22" s="197"/>
      <c r="F22" s="197"/>
    </row>
    <row r="23" spans="2:38" ht="12.75" hidden="1" customHeight="1">
      <c r="C23" s="198" t="s">
        <v>44</v>
      </c>
      <c r="D23" s="198"/>
      <c r="E23" s="198"/>
      <c r="F23" s="198"/>
      <c r="G23" s="198"/>
      <c r="H23" s="198"/>
      <c r="I23" s="198"/>
      <c r="J23" s="198"/>
    </row>
    <row r="24" spans="2:38" ht="42.75" hidden="1" customHeight="1">
      <c r="C24" s="6" t="s">
        <v>6</v>
      </c>
      <c r="D24" s="7" t="s">
        <v>7</v>
      </c>
      <c r="E24" s="7" t="s">
        <v>8</v>
      </c>
      <c r="F24" s="7" t="s">
        <v>9</v>
      </c>
      <c r="G24" s="5" t="s">
        <v>10</v>
      </c>
      <c r="H24" s="5" t="s">
        <v>11</v>
      </c>
      <c r="I24" s="5" t="s">
        <v>12</v>
      </c>
      <c r="J24" s="5" t="s">
        <v>13</v>
      </c>
      <c r="K24" s="5" t="s">
        <v>14</v>
      </c>
      <c r="L24" s="5" t="s">
        <v>15</v>
      </c>
      <c r="M24" s="5" t="s">
        <v>16</v>
      </c>
      <c r="N24" s="5" t="s">
        <v>17</v>
      </c>
      <c r="O24" s="5" t="s">
        <v>18</v>
      </c>
      <c r="P24" s="5" t="s">
        <v>19</v>
      </c>
      <c r="Q24" s="5" t="s">
        <v>20</v>
      </c>
      <c r="R24" s="5" t="s">
        <v>21</v>
      </c>
      <c r="S24" s="5" t="s">
        <v>22</v>
      </c>
      <c r="T24" s="5" t="s">
        <v>23</v>
      </c>
      <c r="U24" s="5" t="s">
        <v>45</v>
      </c>
      <c r="V24" s="5" t="s">
        <v>46</v>
      </c>
      <c r="W24" s="5" t="s">
        <v>47</v>
      </c>
      <c r="X24" s="5" t="s">
        <v>48</v>
      </c>
      <c r="Y24" s="5" t="s">
        <v>28</v>
      </c>
      <c r="Z24" s="5" t="s">
        <v>29</v>
      </c>
      <c r="AA24" s="5" t="s">
        <v>30</v>
      </c>
      <c r="AB24" s="5" t="s">
        <v>31</v>
      </c>
      <c r="AC24" s="5" t="s">
        <v>32</v>
      </c>
      <c r="AD24" s="5" t="s">
        <v>33</v>
      </c>
      <c r="AE24" s="5" t="s">
        <v>34</v>
      </c>
      <c r="AF24" s="5" t="s">
        <v>35</v>
      </c>
      <c r="AG24" s="5" t="s">
        <v>36</v>
      </c>
      <c r="AH24" s="5" t="s">
        <v>37</v>
      </c>
      <c r="AI24" s="5" t="s">
        <v>38</v>
      </c>
      <c r="AJ24" s="5" t="s">
        <v>39</v>
      </c>
      <c r="AK24" s="5" t="s">
        <v>40</v>
      </c>
      <c r="AL24" s="5" t="s">
        <v>41</v>
      </c>
    </row>
    <row r="25" spans="2:38" ht="21.75" hidden="1" customHeight="1">
      <c r="C25" s="11"/>
      <c r="D25" s="11"/>
      <c r="E25" s="11"/>
      <c r="F25" s="1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>
        <f>SUM(G25:R25)</f>
        <v>0</v>
      </c>
      <c r="T25" s="39" t="str">
        <f>IFERROR(VLOOKUP(F25,Anexo!$C$14:$D$20,2,FALSE),"")</f>
        <v/>
      </c>
      <c r="U25" s="18" t="str">
        <f>IFERROR(S25*T25,"")</f>
        <v/>
      </c>
      <c r="V25" s="18" t="str">
        <f>IFERROR(VLOOKUP(E25,FE!$I$25:$P$41,4,FALSE),"")</f>
        <v/>
      </c>
      <c r="W25" s="18" t="str">
        <f>IFERROR(VLOOKUP(E25,FE!$I$25:$P$41,5,FALSE),"")</f>
        <v/>
      </c>
      <c r="X25" s="41" t="str">
        <f>IFERROR(VLOOKUP(E25,FE!$I$25:$P$41,6,FALSE),"")</f>
        <v/>
      </c>
      <c r="Y25" s="18" t="str">
        <f>IFERROR(VLOOKUP(E25,FE!$I$25:$P$41,2,FALSE),"")</f>
        <v/>
      </c>
      <c r="Z25" s="18" t="str">
        <f>IFERROR(IF(Y25="No",0,U25*V25/1000),"")</f>
        <v/>
      </c>
      <c r="AA25" s="18">
        <f>IFERROR(IF(Y25="No",U25*V25/1000,0),"")</f>
        <v>0</v>
      </c>
      <c r="AB25" s="18" t="str">
        <f>IFERROR(U25*W25/1000,"")</f>
        <v/>
      </c>
      <c r="AC25" s="18" t="str">
        <f>IFERROR(U25*X25/1000,"")</f>
        <v/>
      </c>
      <c r="AD25" s="18" t="str">
        <f>IFERROR(AA25+(IF(Y25="No",AB25*PCG!$D$9,AB25*PCG!$D$10))+ED_Combustibles!AC25*PCG!$D$11,"")</f>
        <v/>
      </c>
      <c r="AE25" s="18">
        <f>COUNTIF(G25:R25,"&gt;0")</f>
        <v>0</v>
      </c>
      <c r="AF25" s="18">
        <f>IF(AE25&gt;1,AVERAGE(G25:R25),0)</f>
        <v>0</v>
      </c>
      <c r="AG25" s="18">
        <f>IF(AE25&gt;1,STDEV(G25:R25),0)</f>
        <v>0</v>
      </c>
      <c r="AH25" s="18">
        <f>IF(AE25&gt;1,VLOOKUP(AE25,Anexo!$G$7:$H$19,2,FALSE),0)</f>
        <v>0</v>
      </c>
      <c r="AI25" s="30">
        <f>IF(AE25&gt;1,1-((AF25-((AG25*AH25)/(SQRT(AE25))))/AF25),AJ25)</f>
        <v>0</v>
      </c>
      <c r="AJ25" s="30">
        <f>IF(AE25&gt;0,VLOOKUP(E25,FE!$B$66:$G$87,3,FALSE),0)</f>
        <v>0</v>
      </c>
      <c r="AK25" s="30">
        <f>SQRT((AI25*AI25)+(AJ25*AJ25))</f>
        <v>0</v>
      </c>
      <c r="AL25" s="18">
        <f>IFERROR((AD25*AK25)^2,0)</f>
        <v>0</v>
      </c>
    </row>
    <row r="26" spans="2:38" hidden="1">
      <c r="C26" s="11"/>
      <c r="D26" s="11"/>
      <c r="E26" s="11"/>
      <c r="F26" s="1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f t="shared" ref="S26:S33" si="12">SUM(G26:R26)</f>
        <v>0</v>
      </c>
      <c r="T26" s="39" t="str">
        <f>IFERROR(VLOOKUP(F26,Anexo!$C$14:$D$20,2,FALSE),"")</f>
        <v/>
      </c>
      <c r="U26" s="18" t="str">
        <f t="shared" ref="U26:U33" si="13">IFERROR(S26*T26,"")</f>
        <v/>
      </c>
      <c r="V26" s="18" t="str">
        <f>IFERROR(VLOOKUP(E26,FE!$I$25:$P$41,4,FALSE),"")</f>
        <v/>
      </c>
      <c r="W26" s="18" t="str">
        <f>IFERROR(VLOOKUP(E26,FE!$I$25:$P$41,5,FALSE),"")</f>
        <v/>
      </c>
      <c r="X26" s="41" t="str">
        <f>IFERROR(VLOOKUP(E26,FE!$I$25:$P$41,6,FALSE),"")</f>
        <v/>
      </c>
      <c r="Y26" s="18" t="str">
        <f>IFERROR(VLOOKUP(E26,FE!$B$66:$G$87,2,FALSE),"")</f>
        <v/>
      </c>
      <c r="Z26" s="18" t="str">
        <f t="shared" ref="Z26:Z33" si="14">IFERROR(IF(Y26="No",0,U26*V26/1000),"")</f>
        <v/>
      </c>
      <c r="AA26" s="18">
        <f t="shared" ref="AA26:AA33" si="15">IFERROR(IF(Y26="No",U26*V26/1000,0),"")</f>
        <v>0</v>
      </c>
      <c r="AB26" s="18" t="str">
        <f t="shared" ref="AB26:AB33" si="16">IFERROR(U26*W26/1000,"")</f>
        <v/>
      </c>
      <c r="AC26" s="18" t="str">
        <f t="shared" ref="AC26:AC33" si="17">IFERROR(U26*X26/1000,"")</f>
        <v/>
      </c>
      <c r="AD26" s="18" t="str">
        <f>IFERROR(AA26+(IF(Y26="No",AB26*PCG!$D$9,AB26*PCG!$D$10))+ED_Combustibles!AC26*PCG!$D$11,"")</f>
        <v/>
      </c>
      <c r="AE26" s="18">
        <f t="shared" ref="AE26:AE33" si="18">COUNTIF(G26:R26,"&gt;0")</f>
        <v>0</v>
      </c>
      <c r="AF26" s="18">
        <f t="shared" ref="AF26:AF33" si="19">IF(AE26&gt;1,AVERAGE(G26:R26),0)</f>
        <v>0</v>
      </c>
      <c r="AG26" s="18">
        <f t="shared" ref="AG26:AG33" si="20">IF(AE26&gt;1,STDEV(G26:R26),0)</f>
        <v>0</v>
      </c>
      <c r="AH26" s="18">
        <f>IF(AE26&gt;1,VLOOKUP(AE26,Anexo!$G$7:$H$19,2,FALSE),0)</f>
        <v>0</v>
      </c>
      <c r="AI26" s="30">
        <f t="shared" ref="AI26:AI33" si="21">IF(AE26&gt;1,1-((AF26-((AG26*AH26)/(SQRT(AE26))))/AF26),AJ26)</f>
        <v>0</v>
      </c>
      <c r="AJ26" s="30">
        <f>IF(AE26&gt;0,VLOOKUP(E26,FE!$B$66:$G$87,3,FALSE),0)</f>
        <v>0</v>
      </c>
      <c r="AK26" s="30">
        <f t="shared" ref="AK26:AK33" si="22">SQRT((AI26*AI26)+(AJ26*AJ26))</f>
        <v>0</v>
      </c>
      <c r="AL26" s="18">
        <f t="shared" ref="AL26:AL33" si="23">IFERROR((AD26*AK26)^2,0)</f>
        <v>0</v>
      </c>
    </row>
    <row r="27" spans="2:38" hidden="1">
      <c r="C27" s="11"/>
      <c r="D27" s="11"/>
      <c r="E27" s="11"/>
      <c r="F27" s="1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>
        <f t="shared" si="12"/>
        <v>0</v>
      </c>
      <c r="T27" s="39" t="str">
        <f>IFERROR(VLOOKUP(F27,Anexo!$C$14:$D$20,2,FALSE),"")</f>
        <v/>
      </c>
      <c r="U27" s="18" t="str">
        <f t="shared" si="13"/>
        <v/>
      </c>
      <c r="V27" s="18" t="str">
        <f>IFERROR(VLOOKUP(E27,FE!$I$25:$P$41,4,FALSE),"")</f>
        <v/>
      </c>
      <c r="W27" s="18" t="str">
        <f>IFERROR(VLOOKUP(E27,FE!$I$25:$P$41,5,FALSE),"")</f>
        <v/>
      </c>
      <c r="X27" s="41" t="str">
        <f>IFERROR(VLOOKUP(E27,FE!$I$25:$P$41,6,FALSE),"")</f>
        <v/>
      </c>
      <c r="Y27" s="18" t="str">
        <f>IFERROR(VLOOKUP(E27,FE!$B$66:$G$87,2,FALSE),"")</f>
        <v/>
      </c>
      <c r="Z27" s="18" t="str">
        <f t="shared" si="14"/>
        <v/>
      </c>
      <c r="AA27" s="18">
        <f t="shared" si="15"/>
        <v>0</v>
      </c>
      <c r="AB27" s="18" t="str">
        <f t="shared" si="16"/>
        <v/>
      </c>
      <c r="AC27" s="18" t="str">
        <f t="shared" si="17"/>
        <v/>
      </c>
      <c r="AD27" s="18" t="str">
        <f>IFERROR(AA27+(IF(Y27="No",AB27*PCG!$D$9,AB27*PCG!$D$10))+ED_Combustibles!AC27*PCG!$D$11,"")</f>
        <v/>
      </c>
      <c r="AE27" s="18">
        <f t="shared" si="18"/>
        <v>0</v>
      </c>
      <c r="AF27" s="18">
        <f t="shared" si="19"/>
        <v>0</v>
      </c>
      <c r="AG27" s="18">
        <f t="shared" si="20"/>
        <v>0</v>
      </c>
      <c r="AH27" s="18">
        <f>IF(AE27&gt;1,VLOOKUP(AE27,Anexo!$G$7:$H$19,2,FALSE),0)</f>
        <v>0</v>
      </c>
      <c r="AI27" s="30">
        <f t="shared" si="21"/>
        <v>0</v>
      </c>
      <c r="AJ27" s="30">
        <f>IF(AE27&gt;0,VLOOKUP(E27,FE!$B$66:$G$87,3,FALSE),0)</f>
        <v>0</v>
      </c>
      <c r="AK27" s="30">
        <f t="shared" si="22"/>
        <v>0</v>
      </c>
      <c r="AL27" s="18">
        <f t="shared" si="23"/>
        <v>0</v>
      </c>
    </row>
    <row r="28" spans="2:38" hidden="1">
      <c r="C28" s="11"/>
      <c r="D28" s="11"/>
      <c r="E28" s="11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f t="shared" si="12"/>
        <v>0</v>
      </c>
      <c r="T28" s="39" t="str">
        <f>IFERROR(VLOOKUP(F28,Anexo!$C$14:$D$20,2,FALSE),"")</f>
        <v/>
      </c>
      <c r="U28" s="18" t="str">
        <f t="shared" si="13"/>
        <v/>
      </c>
      <c r="V28" s="18" t="str">
        <f>IFERROR(VLOOKUP(E28,FE!$I$25:$P$41,4,FALSE),"")</f>
        <v/>
      </c>
      <c r="W28" s="18" t="str">
        <f>IFERROR(VLOOKUP(E28,FE!$I$25:$P$41,5,FALSE),"")</f>
        <v/>
      </c>
      <c r="X28" s="41" t="str">
        <f>IFERROR(VLOOKUP(E28,FE!$I$25:$P$41,6,FALSE),"")</f>
        <v/>
      </c>
      <c r="Y28" s="18" t="str">
        <f>IFERROR(VLOOKUP(E28,FE!$B$66:$G$87,2,FALSE),"")</f>
        <v/>
      </c>
      <c r="Z28" s="18" t="str">
        <f t="shared" si="14"/>
        <v/>
      </c>
      <c r="AA28" s="18">
        <f t="shared" si="15"/>
        <v>0</v>
      </c>
      <c r="AB28" s="18" t="str">
        <f t="shared" si="16"/>
        <v/>
      </c>
      <c r="AC28" s="18" t="str">
        <f t="shared" si="17"/>
        <v/>
      </c>
      <c r="AD28" s="18" t="str">
        <f>IFERROR(AA28+(IF(Y28="No",AB28*PCG!$D$9,AB28*PCG!$D$10))+ED_Combustibles!AC28*PCG!$D$11,"")</f>
        <v/>
      </c>
      <c r="AE28" s="18">
        <f t="shared" si="18"/>
        <v>0</v>
      </c>
      <c r="AF28" s="18">
        <f t="shared" si="19"/>
        <v>0</v>
      </c>
      <c r="AG28" s="18">
        <f t="shared" si="20"/>
        <v>0</v>
      </c>
      <c r="AH28" s="18">
        <f>IF(AE28&gt;1,VLOOKUP(AE28,Anexo!$G$7:$H$19,2,FALSE),0)</f>
        <v>0</v>
      </c>
      <c r="AI28" s="30">
        <f t="shared" si="21"/>
        <v>0</v>
      </c>
      <c r="AJ28" s="30">
        <f>IF(AE28&gt;0,VLOOKUP(E28,FE!$B$66:$G$87,3,FALSE),0)</f>
        <v>0</v>
      </c>
      <c r="AK28" s="30">
        <f t="shared" si="22"/>
        <v>0</v>
      </c>
      <c r="AL28" s="18">
        <f t="shared" si="23"/>
        <v>0</v>
      </c>
    </row>
    <row r="29" spans="2:38" hidden="1">
      <c r="C29" s="11"/>
      <c r="D29" s="11"/>
      <c r="E29" s="11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>
        <f t="shared" si="12"/>
        <v>0</v>
      </c>
      <c r="T29" s="39" t="str">
        <f>IFERROR(VLOOKUP(F29,Anexo!$C$14:$D$20,2,FALSE),"")</f>
        <v/>
      </c>
      <c r="U29" s="18" t="str">
        <f t="shared" si="13"/>
        <v/>
      </c>
      <c r="V29" s="18" t="str">
        <f>IFERROR(VLOOKUP(E29,FE!$I$25:$P$41,4,FALSE),"")</f>
        <v/>
      </c>
      <c r="W29" s="18" t="str">
        <f>IFERROR(VLOOKUP(E29,FE!$I$25:$P$41,5,FALSE),"")</f>
        <v/>
      </c>
      <c r="X29" s="41" t="str">
        <f>IFERROR(VLOOKUP(E29,FE!$I$25:$P$41,6,FALSE),"")</f>
        <v/>
      </c>
      <c r="Y29" s="18" t="str">
        <f>IFERROR(VLOOKUP(E29,FE!$B$66:$G$87,2,FALSE),"")</f>
        <v/>
      </c>
      <c r="Z29" s="18" t="str">
        <f t="shared" si="14"/>
        <v/>
      </c>
      <c r="AA29" s="18">
        <f t="shared" si="15"/>
        <v>0</v>
      </c>
      <c r="AB29" s="18" t="str">
        <f t="shared" si="16"/>
        <v/>
      </c>
      <c r="AC29" s="18" t="str">
        <f t="shared" si="17"/>
        <v/>
      </c>
      <c r="AD29" s="18" t="str">
        <f>IFERROR(AA29+(IF(Y29="No",AB29*PCG!$D$9,AB29*PCG!$D$10))+ED_Combustibles!AC29*PCG!$D$11,"")</f>
        <v/>
      </c>
      <c r="AE29" s="18">
        <f t="shared" si="18"/>
        <v>0</v>
      </c>
      <c r="AF29" s="18">
        <f t="shared" si="19"/>
        <v>0</v>
      </c>
      <c r="AG29" s="18">
        <f t="shared" si="20"/>
        <v>0</v>
      </c>
      <c r="AH29" s="18">
        <f>IF(AE29&gt;1,VLOOKUP(AE29,Anexo!$G$7:$H$19,2,FALSE),0)</f>
        <v>0</v>
      </c>
      <c r="AI29" s="30">
        <f t="shared" si="21"/>
        <v>0</v>
      </c>
      <c r="AJ29" s="30">
        <f>IF(AE29&gt;0,VLOOKUP(E29,FE!$B$66:$G$87,3,FALSE),0)</f>
        <v>0</v>
      </c>
      <c r="AK29" s="30">
        <f t="shared" si="22"/>
        <v>0</v>
      </c>
      <c r="AL29" s="18">
        <f t="shared" si="23"/>
        <v>0</v>
      </c>
    </row>
    <row r="30" spans="2:38" hidden="1">
      <c r="C30" s="11"/>
      <c r="D30" s="11"/>
      <c r="E30" s="11"/>
      <c r="F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>
        <f t="shared" si="12"/>
        <v>0</v>
      </c>
      <c r="T30" s="39" t="str">
        <f>IFERROR(VLOOKUP(F30,Anexo!$C$14:$D$20,2,FALSE),"")</f>
        <v/>
      </c>
      <c r="U30" s="18" t="str">
        <f t="shared" si="13"/>
        <v/>
      </c>
      <c r="V30" s="18" t="str">
        <f>IFERROR(VLOOKUP(E30,FE!$I$25:$P$41,4,FALSE),"")</f>
        <v/>
      </c>
      <c r="W30" s="18" t="str">
        <f>IFERROR(VLOOKUP(E30,FE!$I$25:$P$41,5,FALSE),"")</f>
        <v/>
      </c>
      <c r="X30" s="41" t="str">
        <f>IFERROR(VLOOKUP(E30,FE!$I$25:$P$41,6,FALSE),"")</f>
        <v/>
      </c>
      <c r="Y30" s="18" t="str">
        <f>IFERROR(VLOOKUP(E30,FE!$B$66:$G$87,2,FALSE),"")</f>
        <v/>
      </c>
      <c r="Z30" s="18" t="str">
        <f t="shared" si="14"/>
        <v/>
      </c>
      <c r="AA30" s="18">
        <f t="shared" si="15"/>
        <v>0</v>
      </c>
      <c r="AB30" s="18" t="str">
        <f t="shared" si="16"/>
        <v/>
      </c>
      <c r="AC30" s="18" t="str">
        <f t="shared" si="17"/>
        <v/>
      </c>
      <c r="AD30" s="18" t="str">
        <f>IFERROR(AA30+(IF(Y30="No",AB30*PCG!$D$9,AB30*PCG!$D$10))+ED_Combustibles!AC30*PCG!$D$11,"")</f>
        <v/>
      </c>
      <c r="AE30" s="18">
        <f t="shared" si="18"/>
        <v>0</v>
      </c>
      <c r="AF30" s="18">
        <f t="shared" si="19"/>
        <v>0</v>
      </c>
      <c r="AG30" s="18">
        <f t="shared" si="20"/>
        <v>0</v>
      </c>
      <c r="AH30" s="18">
        <f>IF(AE30&gt;1,VLOOKUP(AE30,Anexo!$G$7:$H$19,2,FALSE),0)</f>
        <v>0</v>
      </c>
      <c r="AI30" s="30">
        <f t="shared" si="21"/>
        <v>0</v>
      </c>
      <c r="AJ30" s="30">
        <f>IF(AE30&gt;0,VLOOKUP(E30,FE!$B$66:$G$87,3,FALSE),0)</f>
        <v>0</v>
      </c>
      <c r="AK30" s="30">
        <f t="shared" si="22"/>
        <v>0</v>
      </c>
      <c r="AL30" s="18">
        <f t="shared" si="23"/>
        <v>0</v>
      </c>
    </row>
    <row r="31" spans="2:38" hidden="1">
      <c r="C31" s="11"/>
      <c r="D31" s="11"/>
      <c r="E31" s="11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>
        <f t="shared" si="12"/>
        <v>0</v>
      </c>
      <c r="T31" s="39" t="str">
        <f>IFERROR(VLOOKUP(F31,Anexo!$C$14:$D$20,2,FALSE),"")</f>
        <v/>
      </c>
      <c r="U31" s="18" t="str">
        <f t="shared" si="13"/>
        <v/>
      </c>
      <c r="V31" s="18" t="str">
        <f>IFERROR(VLOOKUP(E31,FE!$I$25:$P$41,4,FALSE),"")</f>
        <v/>
      </c>
      <c r="W31" s="18" t="str">
        <f>IFERROR(VLOOKUP(E31,FE!$I$25:$P$41,5,FALSE),"")</f>
        <v/>
      </c>
      <c r="X31" s="41" t="str">
        <f>IFERROR(VLOOKUP(E31,FE!$I$25:$P$41,6,FALSE),"")</f>
        <v/>
      </c>
      <c r="Y31" s="18" t="str">
        <f>IFERROR(VLOOKUP(E31,FE!$B$66:$G$87,2,FALSE),"")</f>
        <v/>
      </c>
      <c r="Z31" s="18" t="str">
        <f t="shared" si="14"/>
        <v/>
      </c>
      <c r="AA31" s="18">
        <f t="shared" si="15"/>
        <v>0</v>
      </c>
      <c r="AB31" s="18" t="str">
        <f t="shared" si="16"/>
        <v/>
      </c>
      <c r="AC31" s="18" t="str">
        <f t="shared" si="17"/>
        <v/>
      </c>
      <c r="AD31" s="18" t="str">
        <f>IFERROR(AA31+(IF(Y31="No",AB31*PCG!$D$9,AB31*PCG!$D$10))+ED_Combustibles!AC31*PCG!$D$11,"")</f>
        <v/>
      </c>
      <c r="AE31" s="18">
        <f t="shared" si="18"/>
        <v>0</v>
      </c>
      <c r="AF31" s="18">
        <f t="shared" si="19"/>
        <v>0</v>
      </c>
      <c r="AG31" s="18">
        <f t="shared" si="20"/>
        <v>0</v>
      </c>
      <c r="AH31" s="18">
        <f>IF(AE31&gt;1,VLOOKUP(AE31,Anexo!$G$7:$H$19,2,FALSE),0)</f>
        <v>0</v>
      </c>
      <c r="AI31" s="30">
        <f t="shared" si="21"/>
        <v>0</v>
      </c>
      <c r="AJ31" s="30">
        <f>IF(AE31&gt;0,VLOOKUP(E31,FE!$B$66:$G$87,3,FALSE),0)</f>
        <v>0</v>
      </c>
      <c r="AK31" s="30">
        <f t="shared" si="22"/>
        <v>0</v>
      </c>
      <c r="AL31" s="18">
        <f t="shared" si="23"/>
        <v>0</v>
      </c>
    </row>
    <row r="32" spans="2:38" hidden="1"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>
        <f t="shared" si="12"/>
        <v>0</v>
      </c>
      <c r="T32" s="39" t="str">
        <f>IFERROR(VLOOKUP(F32,Anexo!$C$14:$D$20,2,FALSE),"")</f>
        <v/>
      </c>
      <c r="U32" s="18" t="str">
        <f t="shared" si="13"/>
        <v/>
      </c>
      <c r="V32" s="18" t="str">
        <f>IFERROR(VLOOKUP(E32,FE!$I$25:$P$41,4,FALSE),"")</f>
        <v/>
      </c>
      <c r="W32" s="18" t="str">
        <f>IFERROR(VLOOKUP(E32,FE!$I$25:$P$41,5,FALSE),"")</f>
        <v/>
      </c>
      <c r="X32" s="41" t="str">
        <f>IFERROR(VLOOKUP(E32,FE!$I$25:$P$41,6,FALSE),"")</f>
        <v/>
      </c>
      <c r="Y32" s="18" t="str">
        <f>IFERROR(VLOOKUP(E32,FE!$B$66:$G$87,2,FALSE),"")</f>
        <v/>
      </c>
      <c r="Z32" s="18" t="str">
        <f t="shared" si="14"/>
        <v/>
      </c>
      <c r="AA32" s="18">
        <f t="shared" si="15"/>
        <v>0</v>
      </c>
      <c r="AB32" s="18" t="str">
        <f t="shared" si="16"/>
        <v/>
      </c>
      <c r="AC32" s="18" t="str">
        <f t="shared" si="17"/>
        <v/>
      </c>
      <c r="AD32" s="18" t="str">
        <f>IFERROR(AA32+(IF(Y32="No",AB32*PCG!$D$9,AB32*PCG!$D$10))+ED_Combustibles!AC32*PCG!$D$11,"")</f>
        <v/>
      </c>
      <c r="AE32" s="18">
        <f t="shared" si="18"/>
        <v>0</v>
      </c>
      <c r="AF32" s="18">
        <f t="shared" si="19"/>
        <v>0</v>
      </c>
      <c r="AG32" s="18">
        <f t="shared" si="20"/>
        <v>0</v>
      </c>
      <c r="AH32" s="18">
        <f>IF(AE32&gt;1,VLOOKUP(AE32,Anexo!$G$7:$H$19,2,FALSE),0)</f>
        <v>0</v>
      </c>
      <c r="AI32" s="30">
        <f t="shared" si="21"/>
        <v>0</v>
      </c>
      <c r="AJ32" s="30">
        <f>IF(AE32&gt;0,VLOOKUP(E32,FE!$B$66:$G$87,3,FALSE),0)</f>
        <v>0</v>
      </c>
      <c r="AK32" s="30">
        <f t="shared" si="22"/>
        <v>0</v>
      </c>
      <c r="AL32" s="18">
        <f t="shared" si="23"/>
        <v>0</v>
      </c>
    </row>
    <row r="33" spans="2:46" hidden="1">
      <c r="C33" s="11"/>
      <c r="D33" s="11"/>
      <c r="E33" s="11"/>
      <c r="F33" s="1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>
        <f t="shared" si="12"/>
        <v>0</v>
      </c>
      <c r="T33" s="39" t="str">
        <f>IFERROR(VLOOKUP(F33,Anexo!$C$14:$D$20,2,FALSE),"")</f>
        <v/>
      </c>
      <c r="U33" s="18" t="str">
        <f t="shared" si="13"/>
        <v/>
      </c>
      <c r="V33" s="18" t="str">
        <f>IFERROR(VLOOKUP(E33,FE!$I$25:$P$41,4,FALSE),"")</f>
        <v/>
      </c>
      <c r="W33" s="18" t="str">
        <f>IFERROR(VLOOKUP(E33,FE!$I$25:$P$41,5,FALSE),"")</f>
        <v/>
      </c>
      <c r="X33" s="41" t="str">
        <f>IFERROR(VLOOKUP(E33,FE!$I$25:$P$41,6,FALSE),"")</f>
        <v/>
      </c>
      <c r="Y33" s="18" t="str">
        <f>IFERROR(VLOOKUP(E33,FE!$B$66:$G$87,2,FALSE),"")</f>
        <v/>
      </c>
      <c r="Z33" s="18" t="str">
        <f t="shared" si="14"/>
        <v/>
      </c>
      <c r="AA33" s="18">
        <f t="shared" si="15"/>
        <v>0</v>
      </c>
      <c r="AB33" s="18" t="str">
        <f t="shared" si="16"/>
        <v/>
      </c>
      <c r="AC33" s="18" t="str">
        <f t="shared" si="17"/>
        <v/>
      </c>
      <c r="AD33" s="18" t="str">
        <f>IFERROR(AA33+(IF(Y33="No",AB33*PCG!$D$9,AB33*PCG!$D$10))+ED_Combustibles!AC33*PCG!$D$11,"")</f>
        <v/>
      </c>
      <c r="AE33" s="18">
        <f t="shared" si="18"/>
        <v>0</v>
      </c>
      <c r="AF33" s="18">
        <f t="shared" si="19"/>
        <v>0</v>
      </c>
      <c r="AG33" s="18">
        <f t="shared" si="20"/>
        <v>0</v>
      </c>
      <c r="AH33" s="18">
        <f>IF(AE33&gt;1,VLOOKUP(AE33,Anexo!$G$7:$H$19,2,FALSE),0)</f>
        <v>0</v>
      </c>
      <c r="AI33" s="30">
        <f t="shared" si="21"/>
        <v>0</v>
      </c>
      <c r="AJ33" s="30">
        <f>IF(AE33&gt;0,VLOOKUP(E33,FE!$B$66:$G$87,3,FALSE),0)</f>
        <v>0</v>
      </c>
      <c r="AK33" s="30">
        <f t="shared" si="22"/>
        <v>0</v>
      </c>
      <c r="AL33" s="18">
        <f t="shared" si="23"/>
        <v>0</v>
      </c>
    </row>
    <row r="34" spans="2:46" hidden="1"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9">
        <f>SUM(S25:S33)</f>
        <v>0</v>
      </c>
      <c r="T34" s="19"/>
      <c r="U34" s="29">
        <f>SUM(U25:U33)</f>
        <v>0</v>
      </c>
      <c r="V34" s="19"/>
      <c r="W34" s="19"/>
      <c r="X34" s="19"/>
      <c r="Z34" s="29">
        <f>SUM(Z25:Z33)</f>
        <v>0</v>
      </c>
      <c r="AA34" s="29">
        <f>SUM(AA25:AA33)</f>
        <v>0</v>
      </c>
      <c r="AB34" s="29">
        <f>SUM(AB25:AB33)</f>
        <v>0</v>
      </c>
      <c r="AC34" s="29">
        <f>SUM(AC25:AC33)</f>
        <v>0</v>
      </c>
      <c r="AD34" s="29">
        <f>SUM(AD25:AD33)</f>
        <v>0</v>
      </c>
      <c r="AK34" s="31">
        <f>IF(AD34&gt;0,SQRT(SUM(AL25:AL33))/AD34,0)</f>
        <v>0</v>
      </c>
      <c r="AL34" s="29">
        <f>(AD34*AK34)^2</f>
        <v>0</v>
      </c>
    </row>
    <row r="35" spans="2:46"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46">
      <c r="B36" s="2" t="s">
        <v>49</v>
      </c>
      <c r="C36" s="197" t="s">
        <v>50</v>
      </c>
      <c r="D36" s="197"/>
      <c r="E36" s="197"/>
      <c r="F36" s="197"/>
    </row>
    <row r="37" spans="2:46" ht="12.75" customHeight="1">
      <c r="C37" s="198" t="s">
        <v>51</v>
      </c>
      <c r="D37" s="198"/>
      <c r="E37" s="198"/>
      <c r="F37" s="198"/>
      <c r="G37" s="198"/>
      <c r="H37" s="198"/>
      <c r="I37" s="198"/>
      <c r="Z37" s="195" t="s">
        <v>52</v>
      </c>
      <c r="AA37" s="195"/>
      <c r="AB37" s="195"/>
      <c r="AC37" s="199" t="s">
        <v>53</v>
      </c>
      <c r="AD37" s="200"/>
      <c r="AE37" s="201"/>
      <c r="AF37" s="195" t="s">
        <v>52</v>
      </c>
      <c r="AG37" s="195"/>
      <c r="AH37" s="195"/>
      <c r="AI37" s="199" t="s">
        <v>53</v>
      </c>
      <c r="AJ37" s="200"/>
      <c r="AK37" s="201"/>
    </row>
    <row r="38" spans="2:46" ht="51">
      <c r="C38" s="6" t="s">
        <v>6</v>
      </c>
      <c r="D38" s="7" t="s">
        <v>7</v>
      </c>
      <c r="E38" s="7" t="s">
        <v>54</v>
      </c>
      <c r="F38" s="7" t="s">
        <v>55</v>
      </c>
      <c r="G38" s="7" t="s">
        <v>56</v>
      </c>
      <c r="H38" s="7" t="s">
        <v>9</v>
      </c>
      <c r="I38" s="5" t="s">
        <v>10</v>
      </c>
      <c r="J38" s="5" t="s">
        <v>11</v>
      </c>
      <c r="K38" s="5" t="s">
        <v>12</v>
      </c>
      <c r="L38" s="5" t="s">
        <v>13</v>
      </c>
      <c r="M38" s="5" t="s">
        <v>14</v>
      </c>
      <c r="N38" s="5" t="s">
        <v>15</v>
      </c>
      <c r="O38" s="5" t="s">
        <v>16</v>
      </c>
      <c r="P38" s="5" t="s">
        <v>17</v>
      </c>
      <c r="Q38" s="5" t="s">
        <v>18</v>
      </c>
      <c r="R38" s="5" t="s">
        <v>19</v>
      </c>
      <c r="S38" s="5" t="s">
        <v>20</v>
      </c>
      <c r="T38" s="5" t="s">
        <v>21</v>
      </c>
      <c r="U38" s="5" t="s">
        <v>22</v>
      </c>
      <c r="V38" s="5" t="s">
        <v>23</v>
      </c>
      <c r="W38" s="5" t="s">
        <v>57</v>
      </c>
      <c r="X38" s="5" t="s">
        <v>58</v>
      </c>
      <c r="Y38" s="5" t="s">
        <v>59</v>
      </c>
      <c r="Z38" s="7" t="s">
        <v>60</v>
      </c>
      <c r="AA38" s="7" t="s">
        <v>61</v>
      </c>
      <c r="AB38" s="7" t="s">
        <v>62</v>
      </c>
      <c r="AC38" s="7" t="s">
        <v>60</v>
      </c>
      <c r="AD38" s="7" t="s">
        <v>61</v>
      </c>
      <c r="AE38" s="7" t="s">
        <v>62</v>
      </c>
      <c r="AF38" s="7" t="s">
        <v>63</v>
      </c>
      <c r="AG38" s="7" t="s">
        <v>31</v>
      </c>
      <c r="AH38" s="7" t="s">
        <v>32</v>
      </c>
      <c r="AI38" s="7" t="s">
        <v>63</v>
      </c>
      <c r="AJ38" s="7" t="s">
        <v>31</v>
      </c>
      <c r="AK38" s="7" t="s">
        <v>32</v>
      </c>
      <c r="AL38" s="5" t="s">
        <v>33</v>
      </c>
      <c r="AM38" s="5" t="s">
        <v>34</v>
      </c>
      <c r="AN38" s="5" t="s">
        <v>35</v>
      </c>
      <c r="AO38" s="5" t="s">
        <v>36</v>
      </c>
      <c r="AP38" s="5" t="s">
        <v>37</v>
      </c>
      <c r="AQ38" s="5" t="s">
        <v>38</v>
      </c>
      <c r="AR38" s="5" t="s">
        <v>39</v>
      </c>
      <c r="AS38" s="5" t="s">
        <v>40</v>
      </c>
      <c r="AT38" s="5" t="s">
        <v>41</v>
      </c>
    </row>
    <row r="39" spans="2:46" ht="25.5">
      <c r="C39" s="11" t="s">
        <v>64</v>
      </c>
      <c r="D39" s="11" t="s">
        <v>65</v>
      </c>
      <c r="E39" s="11" t="s">
        <v>66</v>
      </c>
      <c r="F39" s="11" t="s">
        <v>67</v>
      </c>
      <c r="G39" s="33">
        <v>0.9</v>
      </c>
      <c r="H39" s="11" t="s">
        <v>68</v>
      </c>
      <c r="I39" s="17"/>
      <c r="J39" s="17">
        <v>0.71994666666666673</v>
      </c>
      <c r="K39" s="17">
        <v>1.7103466666666669</v>
      </c>
      <c r="L39" s="17"/>
      <c r="M39" s="17">
        <v>2.1537333333333333</v>
      </c>
      <c r="N39" s="17">
        <v>0.39906666666666668</v>
      </c>
      <c r="O39" s="17">
        <v>0.57491999999999999</v>
      </c>
      <c r="P39" s="17">
        <v>1.3333333333333335</v>
      </c>
      <c r="Q39" s="17">
        <v>1.9453733333333334</v>
      </c>
      <c r="R39" s="17">
        <v>1.4685466666666669</v>
      </c>
      <c r="S39" s="17">
        <v>0.89333333333333342</v>
      </c>
      <c r="T39" s="17">
        <v>0.88112000000000013</v>
      </c>
      <c r="U39" s="18">
        <f>SUM(I39:T39)</f>
        <v>12.079719999999998</v>
      </c>
      <c r="V39" s="18">
        <f>IFERROR(VLOOKUP(H39,Anexo!$C$24:$D$29,2,FALSE),"")</f>
        <v>1</v>
      </c>
      <c r="W39" s="18">
        <f>IFERROR(V39*U39,"")</f>
        <v>12.079719999999998</v>
      </c>
      <c r="X39" s="18">
        <f>IFERROR(W39*G39,"")</f>
        <v>10.871747999999998</v>
      </c>
      <c r="Y39" s="18">
        <f>IFERROR((1-G39)*W39,"")</f>
        <v>1.2079719999999996</v>
      </c>
      <c r="Z39" s="18">
        <f>IFERROR(VLOOKUP(E39,FE!$I$10:$N$21,4,FALSE),"")</f>
        <v>8.8079999999999998</v>
      </c>
      <c r="AA39" s="18">
        <f>IFERROR(VLOOKUP(E39,FE!$I$10:$N$21,5,FALSE),"")</f>
        <v>2.6999999999999999E-5</v>
      </c>
      <c r="AB39" s="41">
        <f>IFERROR(VLOOKUP(E39,FE!$I$10:$N$21,6,FALSE),"")</f>
        <v>5.0000000000000004E-6</v>
      </c>
      <c r="AC39" s="18">
        <f>IFERROR(VLOOKUP(F39,FE!$I$10:$N$21,4,FALSE),"")</f>
        <v>5.92</v>
      </c>
      <c r="AD39" s="18">
        <f>IFERROR(VLOOKUP(F39,FE!$I$10:$N$21,5,FALSE),"")</f>
        <v>1.4999999999999999E-5</v>
      </c>
      <c r="AE39" s="41">
        <f>IFERROR(VLOOKUP(F39,FE!$I$10:$N$21,6,FALSE),"")</f>
        <v>3.0000000000000001E-6</v>
      </c>
      <c r="AF39" s="18">
        <f>IFERROR(X39*Z39/1000,"")</f>
        <v>9.5758356383999987E-2</v>
      </c>
      <c r="AG39" s="18">
        <f>IFERROR(X39*AA39/1000,"")</f>
        <v>2.9353719599999996E-7</v>
      </c>
      <c r="AH39" s="18">
        <f>IFERROR(X39*AB39/1000,"")</f>
        <v>5.4358739999999994E-8</v>
      </c>
      <c r="AI39" s="18">
        <f>IFERROR(Y39*AC39/1000,"")</f>
        <v>7.1511942399999978E-3</v>
      </c>
      <c r="AJ39" s="18">
        <f>IFERROR(Y39*AD39/1000,"")</f>
        <v>1.8119579999999995E-8</v>
      </c>
      <c r="AK39" s="18">
        <f>IFERROR(Y39*AE39/1000,"")</f>
        <v>3.6239159999999988E-9</v>
      </c>
      <c r="AL39" s="18">
        <f>IFERROR(AF39+(AG39*PCG!$D$9)+(AH39*PCG!$D$11)+(AJ39*PCG!$D$10)+(AK39*PCG!$D$11),"")</f>
        <v>9.5783438593810791E-2</v>
      </c>
      <c r="AM39" s="18">
        <f>COUNTIF(I39:T39,"&gt;0")</f>
        <v>10</v>
      </c>
      <c r="AN39" s="18">
        <f>IF(AM39&gt;1,AVERAGE(I39:T39),0)</f>
        <v>1.2079719999999998</v>
      </c>
      <c r="AO39" s="18">
        <f>IF(AM39&gt;1,STDEV(I39:T39),0)</f>
        <v>0.60307556850809219</v>
      </c>
      <c r="AP39" s="18">
        <f>IF(AM39&gt;1,VLOOKUP(AM39,Anexo!$G$7:$H$19,2,FALSE),0)</f>
        <v>2.2599999999999998</v>
      </c>
      <c r="AQ39" s="30">
        <f>IF(AM39&gt;1,1-((AN39-((AO39*AP39)/(SQRT(AM39))))/AN39),AR39)</f>
        <v>0.35679873529944861</v>
      </c>
      <c r="AR39" s="30">
        <f>IF(AM39&gt;0,VLOOKUP(E39,FE!$I$10:$K$21,3,FALSE),0)</f>
        <v>2.0300000000000001E-3</v>
      </c>
      <c r="AS39" s="30">
        <f>SQRT((AQ39*AQ39)+(AR39*AR39))</f>
        <v>0.35680451007699721</v>
      </c>
      <c r="AT39" s="18">
        <f>IFERROR((AL39*AS39)^2,0)</f>
        <v>1.1679964388404008E-3</v>
      </c>
    </row>
    <row r="40" spans="2:46" ht="25.5">
      <c r="C40" s="11" t="s">
        <v>64</v>
      </c>
      <c r="D40" s="11" t="s">
        <v>69</v>
      </c>
      <c r="E40" s="11" t="s">
        <v>66</v>
      </c>
      <c r="F40" s="11" t="s">
        <v>67</v>
      </c>
      <c r="G40" s="33">
        <v>0.9</v>
      </c>
      <c r="H40" s="11" t="s">
        <v>68</v>
      </c>
      <c r="I40" s="17"/>
      <c r="J40" s="17">
        <v>5.0396266666666669</v>
      </c>
      <c r="K40" s="17">
        <v>11.972426666666669</v>
      </c>
      <c r="L40" s="17"/>
      <c r="M40" s="17">
        <v>15.076133333333335</v>
      </c>
      <c r="N40" s="17">
        <v>2.7934666666666668</v>
      </c>
      <c r="O40" s="17">
        <v>4.0244400000000002</v>
      </c>
      <c r="P40" s="17">
        <v>9.3333333333333339</v>
      </c>
      <c r="Q40" s="17">
        <v>13.617613333333333</v>
      </c>
      <c r="R40" s="17">
        <v>10.279826666666668</v>
      </c>
      <c r="S40" s="17">
        <v>6.2533333333333339</v>
      </c>
      <c r="T40" s="17">
        <v>6.1678400000000009</v>
      </c>
      <c r="U40" s="18">
        <f t="shared" ref="U40:U51" si="24">SUM(I40:T40)</f>
        <v>84.558040000000005</v>
      </c>
      <c r="V40" s="18">
        <f>IFERROR(VLOOKUP(H40,Anexo!$C$24:$D$29,2,FALSE),"")</f>
        <v>1</v>
      </c>
      <c r="W40" s="18">
        <f t="shared" ref="W40:W51" si="25">IFERROR(V40*U40,"")</f>
        <v>84.558040000000005</v>
      </c>
      <c r="X40" s="18">
        <f t="shared" ref="X40:X51" si="26">IFERROR(W40*G40,"")</f>
        <v>76.102236000000005</v>
      </c>
      <c r="Y40" s="18">
        <f t="shared" ref="Y40:Y51" si="27">IFERROR((1-G40)*W40,"")</f>
        <v>8.4558039999999988</v>
      </c>
      <c r="Z40" s="18">
        <f>IFERROR(VLOOKUP(E40,FE!$I$10:$N$21,4,FALSE),"")</f>
        <v>8.8079999999999998</v>
      </c>
      <c r="AA40" s="18">
        <f>IFERROR(VLOOKUP(E40,FE!$I$10:$N$21,5,FALSE),"")</f>
        <v>2.6999999999999999E-5</v>
      </c>
      <c r="AB40" s="41">
        <f>IFERROR(VLOOKUP(E40,FE!$I$10:$N$21,6,FALSE),"")</f>
        <v>5.0000000000000004E-6</v>
      </c>
      <c r="AC40" s="18">
        <f>IFERROR(VLOOKUP(F40,FE!$I$10:$N$21,4,FALSE),"")</f>
        <v>5.92</v>
      </c>
      <c r="AD40" s="18">
        <f>IFERROR(VLOOKUP(F40,FE!$I$10:$N$21,5,FALSE),"")</f>
        <v>1.4999999999999999E-5</v>
      </c>
      <c r="AE40" s="41">
        <f>IFERROR(VLOOKUP(F40,FE!$I$10:$N$21,6,FALSE),"")</f>
        <v>3.0000000000000001E-6</v>
      </c>
      <c r="AF40" s="18">
        <f t="shared" ref="AF40:AF51" si="28">IFERROR(X40*Z40/1000,"")</f>
        <v>0.67030849468800002</v>
      </c>
      <c r="AG40" s="18">
        <f t="shared" ref="AG40:AG51" si="29">IFERROR(X40*AA40/1000,"")</f>
        <v>2.054760372E-6</v>
      </c>
      <c r="AH40" s="18">
        <f t="shared" ref="AH40:AH51" si="30">IFERROR(X40*AB40/1000,"")</f>
        <v>3.8051118E-7</v>
      </c>
      <c r="AI40" s="18">
        <f t="shared" ref="AI40:AI51" si="31">IFERROR(Y40*AC40/1000,"")</f>
        <v>5.0058359679999997E-2</v>
      </c>
      <c r="AJ40" s="18">
        <f t="shared" ref="AJ40:AJ51" si="32">IFERROR(Y40*AD40/1000,"")</f>
        <v>1.2683705999999999E-7</v>
      </c>
      <c r="AK40" s="18">
        <f t="shared" ref="AK40:AK51" si="33">IFERROR(Y40*AE40/1000,"")</f>
        <v>2.5367411999999997E-8</v>
      </c>
      <c r="AL40" s="18">
        <f>IFERROR(AF40+(AG40*PCG!$D$9)+(AH40*PCG!$D$11)+(AJ40*PCG!$D$10)+(AK40*PCG!$D$11),"")</f>
        <v>0.67048407015667555</v>
      </c>
      <c r="AM40" s="18">
        <f t="shared" ref="AM40:AM51" si="34">COUNTIF(I40:T40,"&gt;0")</f>
        <v>10</v>
      </c>
      <c r="AN40" s="18">
        <f t="shared" ref="AN40:AN51" si="35">IF(AM40&gt;1,AVERAGE(I40:T40),0)</f>
        <v>8.4558040000000005</v>
      </c>
      <c r="AO40" s="18">
        <f t="shared" ref="AO40:AO51" si="36">IF(AM40&gt;1,STDEV(I40:T40),0)</f>
        <v>4.2215289795566431</v>
      </c>
      <c r="AP40" s="18">
        <f>IF(AM40&gt;1,VLOOKUP(AM40,Anexo!$G$7:$H$19,2,FALSE),0)</f>
        <v>2.2599999999999998</v>
      </c>
      <c r="AQ40" s="30">
        <f t="shared" ref="AQ40:AQ51" si="37">IF(AM40&gt;1,1-((AN40-((AO40*AP40)/(SQRT(AM40))))/AN40),AR40)</f>
        <v>0.35679873529944839</v>
      </c>
      <c r="AR40" s="30">
        <f>IF(AM40&gt;0,VLOOKUP(E40,FE!$I$10:$K$21,3,FALSE),0)</f>
        <v>2.0300000000000001E-3</v>
      </c>
      <c r="AS40" s="30">
        <f t="shared" ref="AS40:AS51" si="38">SQRT((AQ40*AQ40)+(AR40*AR40))</f>
        <v>0.35680451007699698</v>
      </c>
      <c r="AT40" s="18">
        <f t="shared" ref="AT40:AT51" si="39">IFERROR((AL40*AS40)^2,0)</f>
        <v>5.7231825503179568E-2</v>
      </c>
    </row>
    <row r="41" spans="2:46" ht="25.5">
      <c r="C41" s="11" t="s">
        <v>64</v>
      </c>
      <c r="D41" s="11" t="s">
        <v>70</v>
      </c>
      <c r="E41" s="11" t="s">
        <v>66</v>
      </c>
      <c r="F41" s="11" t="s">
        <v>67</v>
      </c>
      <c r="G41" s="33">
        <v>0.9</v>
      </c>
      <c r="H41" s="11" t="s">
        <v>68</v>
      </c>
      <c r="I41" s="17"/>
      <c r="J41" s="17">
        <v>25.91808</v>
      </c>
      <c r="K41" s="17">
        <v>61.572480000000006</v>
      </c>
      <c r="L41" s="17"/>
      <c r="M41" s="17">
        <v>77.534399999999991</v>
      </c>
      <c r="N41" s="17">
        <v>14.366399999999999</v>
      </c>
      <c r="O41" s="17">
        <v>20.697119999999998</v>
      </c>
      <c r="P41" s="17">
        <v>48</v>
      </c>
      <c r="Q41" s="17">
        <v>70.033439999999999</v>
      </c>
      <c r="R41" s="17">
        <v>52.86768</v>
      </c>
      <c r="S41" s="17">
        <v>32.159999999999997</v>
      </c>
      <c r="T41" s="17">
        <v>31.720320000000001</v>
      </c>
      <c r="U41" s="18">
        <f t="shared" si="24"/>
        <v>434.86991999999998</v>
      </c>
      <c r="V41" s="18">
        <f>IFERROR(VLOOKUP(H41,Anexo!$C$24:$D$29,2,FALSE),"")</f>
        <v>1</v>
      </c>
      <c r="W41" s="18">
        <f t="shared" si="25"/>
        <v>434.86991999999998</v>
      </c>
      <c r="X41" s="18">
        <f t="shared" si="26"/>
        <v>391.38292799999999</v>
      </c>
      <c r="Y41" s="18">
        <f t="shared" si="27"/>
        <v>43.486991999999987</v>
      </c>
      <c r="Z41" s="18">
        <f>IFERROR(VLOOKUP(E41,FE!$I$10:$N$21,4,FALSE),"")</f>
        <v>8.8079999999999998</v>
      </c>
      <c r="AA41" s="18">
        <f>IFERROR(VLOOKUP(E41,FE!$I$10:$N$21,5,FALSE),"")</f>
        <v>2.6999999999999999E-5</v>
      </c>
      <c r="AB41" s="41">
        <f>IFERROR(VLOOKUP(E41,FE!$I$10:$N$21,6,FALSE),"")</f>
        <v>5.0000000000000004E-6</v>
      </c>
      <c r="AC41" s="18">
        <f>IFERROR(VLOOKUP(F41,FE!$I$10:$N$21,4,FALSE),"")</f>
        <v>5.92</v>
      </c>
      <c r="AD41" s="18">
        <f>IFERROR(VLOOKUP(F41,FE!$I$10:$N$21,5,FALSE),"")</f>
        <v>1.4999999999999999E-5</v>
      </c>
      <c r="AE41" s="41">
        <f>IFERROR(VLOOKUP(F41,FE!$I$10:$N$21,6,FALSE),"")</f>
        <v>3.0000000000000001E-6</v>
      </c>
      <c r="AF41" s="18">
        <f t="shared" si="28"/>
        <v>3.4473008298239995</v>
      </c>
      <c r="AG41" s="18">
        <f t="shared" si="29"/>
        <v>1.0567339056000001E-5</v>
      </c>
      <c r="AH41" s="18">
        <f t="shared" si="30"/>
        <v>1.95691464E-6</v>
      </c>
      <c r="AI41" s="18">
        <f t="shared" si="31"/>
        <v>0.25744299263999992</v>
      </c>
      <c r="AJ41" s="18">
        <f t="shared" si="32"/>
        <v>6.5230487999999979E-7</v>
      </c>
      <c r="AK41" s="18">
        <f t="shared" si="33"/>
        <v>1.3046097599999996E-7</v>
      </c>
      <c r="AL41" s="18">
        <f>IFERROR(AF41+(AG41*PCG!$D$9)+(AH41*PCG!$D$11)+(AJ41*PCG!$D$10)+(AK41*PCG!$D$11),"")</f>
        <v>3.4482037893771884</v>
      </c>
      <c r="AM41" s="18">
        <f t="shared" si="34"/>
        <v>10</v>
      </c>
      <c r="AN41" s="18">
        <f t="shared" si="35"/>
        <v>43.486992000000001</v>
      </c>
      <c r="AO41" s="18">
        <f t="shared" si="36"/>
        <v>21.710720466291306</v>
      </c>
      <c r="AP41" s="18">
        <f>IF(AM41&gt;1,VLOOKUP(AM41,Anexo!$G$7:$H$19,2,FALSE),0)</f>
        <v>2.2599999999999998</v>
      </c>
      <c r="AQ41" s="30">
        <f t="shared" si="37"/>
        <v>0.35679873529944839</v>
      </c>
      <c r="AR41" s="30">
        <f>IF(AM41&gt;0,VLOOKUP(E41,FE!$I$10:$K$21,3,FALSE),0)</f>
        <v>2.0300000000000001E-3</v>
      </c>
      <c r="AS41" s="30">
        <f t="shared" si="38"/>
        <v>0.35680451007699698</v>
      </c>
      <c r="AT41" s="18">
        <f t="shared" si="39"/>
        <v>1.5137233847371572</v>
      </c>
    </row>
    <row r="42" spans="2:46" ht="25.5">
      <c r="C42" s="11" t="s">
        <v>64</v>
      </c>
      <c r="D42" s="11" t="s">
        <v>71</v>
      </c>
      <c r="E42" s="11" t="s">
        <v>66</v>
      </c>
      <c r="F42" s="11" t="s">
        <v>67</v>
      </c>
      <c r="G42" s="33">
        <v>0.9</v>
      </c>
      <c r="H42" s="11" t="s">
        <v>68</v>
      </c>
      <c r="I42" s="17"/>
      <c r="J42" s="17">
        <v>0.71994666666666673</v>
      </c>
      <c r="K42" s="17">
        <v>1.7103466666666669</v>
      </c>
      <c r="L42" s="17"/>
      <c r="M42" s="17">
        <v>2.1537333333333333</v>
      </c>
      <c r="N42" s="17">
        <v>0.39906666666666668</v>
      </c>
      <c r="O42" s="17">
        <v>0.57491999999999999</v>
      </c>
      <c r="P42" s="17">
        <v>1.3333333333333335</v>
      </c>
      <c r="Q42" s="17">
        <v>1.9453733333333334</v>
      </c>
      <c r="R42" s="17">
        <v>1.4685466666666669</v>
      </c>
      <c r="S42" s="17">
        <v>0.89333333333333342</v>
      </c>
      <c r="T42" s="17">
        <v>0.88112000000000013</v>
      </c>
      <c r="U42" s="18">
        <f t="shared" si="24"/>
        <v>12.079719999999998</v>
      </c>
      <c r="V42" s="18">
        <f>IFERROR(VLOOKUP(H42,Anexo!$C$24:$D$29,2,FALSE),"")</f>
        <v>1</v>
      </c>
      <c r="W42" s="18">
        <f t="shared" si="25"/>
        <v>12.079719999999998</v>
      </c>
      <c r="X42" s="18">
        <f t="shared" si="26"/>
        <v>10.871747999999998</v>
      </c>
      <c r="Y42" s="18">
        <f t="shared" si="27"/>
        <v>1.2079719999999996</v>
      </c>
      <c r="Z42" s="18">
        <f>IFERROR(VLOOKUP(E42,FE!$I$10:$N$21,4,FALSE),"")</f>
        <v>8.8079999999999998</v>
      </c>
      <c r="AA42" s="18">
        <f>IFERROR(VLOOKUP(E42,FE!$I$10:$N$21,5,FALSE),"")</f>
        <v>2.6999999999999999E-5</v>
      </c>
      <c r="AB42" s="41">
        <f>IFERROR(VLOOKUP(E42,FE!$I$10:$N$21,6,FALSE),"")</f>
        <v>5.0000000000000004E-6</v>
      </c>
      <c r="AC42" s="18">
        <f>IFERROR(VLOOKUP(F42,FE!$I$10:$N$21,4,FALSE),"")</f>
        <v>5.92</v>
      </c>
      <c r="AD42" s="18">
        <f>IFERROR(VLOOKUP(F42,FE!$I$10:$N$21,5,FALSE),"")</f>
        <v>1.4999999999999999E-5</v>
      </c>
      <c r="AE42" s="41">
        <f>IFERROR(VLOOKUP(F42,FE!$I$10:$N$21,6,FALSE),"")</f>
        <v>3.0000000000000001E-6</v>
      </c>
      <c r="AF42" s="18">
        <f t="shared" si="28"/>
        <v>9.5758356383999987E-2</v>
      </c>
      <c r="AG42" s="18">
        <f t="shared" si="29"/>
        <v>2.9353719599999996E-7</v>
      </c>
      <c r="AH42" s="18">
        <f t="shared" si="30"/>
        <v>5.4358739999999994E-8</v>
      </c>
      <c r="AI42" s="18">
        <f t="shared" si="31"/>
        <v>7.1511942399999978E-3</v>
      </c>
      <c r="AJ42" s="18">
        <f t="shared" si="32"/>
        <v>1.8119579999999995E-8</v>
      </c>
      <c r="AK42" s="18">
        <f t="shared" si="33"/>
        <v>3.6239159999999988E-9</v>
      </c>
      <c r="AL42" s="18">
        <f>IFERROR(AF42+(AG42*PCG!$D$9)+(AH42*PCG!$D$11)+(AJ42*PCG!$D$10)+(AK42*PCG!$D$11),"")</f>
        <v>9.5783438593810791E-2</v>
      </c>
      <c r="AM42" s="18">
        <f t="shared" si="34"/>
        <v>10</v>
      </c>
      <c r="AN42" s="18">
        <f t="shared" si="35"/>
        <v>1.2079719999999998</v>
      </c>
      <c r="AO42" s="18">
        <f t="shared" si="36"/>
        <v>0.60307556850809219</v>
      </c>
      <c r="AP42" s="18">
        <f>IF(AM42&gt;1,VLOOKUP(AM42,Anexo!$G$7:$H$19,2,FALSE),0)</f>
        <v>2.2599999999999998</v>
      </c>
      <c r="AQ42" s="30">
        <f t="shared" si="37"/>
        <v>0.35679873529944861</v>
      </c>
      <c r="AR42" s="30">
        <f>IF(AM42&gt;0,VLOOKUP(E42,FE!$I$10:$K$21,3,FALSE),0)</f>
        <v>2.0300000000000001E-3</v>
      </c>
      <c r="AS42" s="30">
        <f t="shared" si="38"/>
        <v>0.35680451007699721</v>
      </c>
      <c r="AT42" s="18">
        <f t="shared" si="39"/>
        <v>1.1679964388404008E-3</v>
      </c>
    </row>
    <row r="43" spans="2:46" ht="25.5">
      <c r="C43" s="11" t="s">
        <v>64</v>
      </c>
      <c r="D43" s="11" t="s">
        <v>72</v>
      </c>
      <c r="E43" s="11" t="s">
        <v>73</v>
      </c>
      <c r="F43" s="11" t="s">
        <v>74</v>
      </c>
      <c r="G43" s="33">
        <v>0.9</v>
      </c>
      <c r="H43" s="11" t="s">
        <v>68</v>
      </c>
      <c r="I43" s="17"/>
      <c r="J43" s="17">
        <v>7.3116279069767431</v>
      </c>
      <c r="K43" s="17"/>
      <c r="L43" s="17"/>
      <c r="M43" s="17">
        <v>4.3166511627906976</v>
      </c>
      <c r="N43" s="17">
        <v>2.1581395348837207</v>
      </c>
      <c r="O43" s="17">
        <v>8.6331102357956091</v>
      </c>
      <c r="P43" s="17"/>
      <c r="Q43" s="17"/>
      <c r="R43" s="17">
        <v>24.205953488372092</v>
      </c>
      <c r="S43" s="17">
        <v>25.674418604651162</v>
      </c>
      <c r="T43" s="17">
        <v>13.69339534883721</v>
      </c>
      <c r="U43" s="18">
        <f t="shared" si="24"/>
        <v>85.993296282307242</v>
      </c>
      <c r="V43" s="18">
        <f>IFERROR(VLOOKUP(H43,Anexo!$C$24:$D$29,2,FALSE),"")</f>
        <v>1</v>
      </c>
      <c r="W43" s="18">
        <f t="shared" si="25"/>
        <v>85.993296282307242</v>
      </c>
      <c r="X43" s="18">
        <f t="shared" si="26"/>
        <v>77.393966654076522</v>
      </c>
      <c r="Y43" s="18">
        <f t="shared" si="27"/>
        <v>8.5993296282307217</v>
      </c>
      <c r="Z43" s="18">
        <f>IFERROR(VLOOKUP(E43,FE!$I$10:$N$21,4,FALSE),"")</f>
        <v>10.148999999999999</v>
      </c>
      <c r="AA43" s="18">
        <f>IFERROR(VLOOKUP(E43,FE!$I$10:$N$21,5,FALSE),"")</f>
        <v>1.0000000000000001E-5</v>
      </c>
      <c r="AB43" s="41">
        <f>IFERROR(VLOOKUP(E43,FE!$I$10:$N$21,6,FALSE),"")</f>
        <v>6.0000000000000002E-6</v>
      </c>
      <c r="AC43" s="18">
        <f>IFERROR(VLOOKUP(F43,FE!$I$10:$N$21,4,FALSE),"")</f>
        <v>6.8819999999999997</v>
      </c>
      <c r="AD43" s="18">
        <f>IFERROR(VLOOKUP(F43,FE!$I$10:$N$21,5,FALSE),"")</f>
        <v>2.5999999999999998E-5</v>
      </c>
      <c r="AE43" s="41">
        <f>IFERROR(VLOOKUP(F43,FE!$I$10:$N$21,6,FALSE),"")</f>
        <v>5.0000000000000004E-6</v>
      </c>
      <c r="AF43" s="18">
        <f t="shared" si="28"/>
        <v>0.78547136757222258</v>
      </c>
      <c r="AG43" s="18">
        <f t="shared" si="29"/>
        <v>7.7393966654076522E-7</v>
      </c>
      <c r="AH43" s="18">
        <f t="shared" si="30"/>
        <v>4.6436379992445914E-7</v>
      </c>
      <c r="AI43" s="18">
        <f t="shared" si="31"/>
        <v>5.918058650148382E-2</v>
      </c>
      <c r="AJ43" s="18">
        <f t="shared" si="32"/>
        <v>2.2358257033399875E-7</v>
      </c>
      <c r="AK43" s="18">
        <f t="shared" si="33"/>
        <v>4.2996648141153612E-8</v>
      </c>
      <c r="AL43" s="18">
        <f>IFERROR(AF43+(AG43*PCG!$D$9)+(AH43*PCG!$D$11)+(AJ43*PCG!$D$10)+(AK43*PCG!$D$11),"")</f>
        <v>0.78563917833031971</v>
      </c>
      <c r="AM43" s="18">
        <f t="shared" si="34"/>
        <v>7</v>
      </c>
      <c r="AN43" s="18">
        <f t="shared" si="35"/>
        <v>12.284756611758178</v>
      </c>
      <c r="AO43" s="18">
        <f t="shared" si="36"/>
        <v>9.3762808421340846</v>
      </c>
      <c r="AP43" s="18">
        <f>IF(AM43&gt;1,VLOOKUP(AM43,Anexo!$G$7:$H$19,2,FALSE),0)</f>
        <v>2.4500000000000002</v>
      </c>
      <c r="AQ43" s="30">
        <f t="shared" si="37"/>
        <v>0.70677489511959368</v>
      </c>
      <c r="AR43" s="30">
        <f>IF(AM43&gt;0,VLOOKUP(E43,FE!$I$10:$K$21,3,FALSE),0)</f>
        <v>2.0500000000000002E-3</v>
      </c>
      <c r="AS43" s="30">
        <f t="shared" si="38"/>
        <v>0.70677786812499488</v>
      </c>
      <c r="AT43" s="18">
        <f t="shared" si="39"/>
        <v>0.30832741996192375</v>
      </c>
    </row>
    <row r="44" spans="2:46" ht="25.5">
      <c r="C44" s="11" t="s">
        <v>64</v>
      </c>
      <c r="D44" s="11" t="s">
        <v>72</v>
      </c>
      <c r="E44" s="11" t="s">
        <v>73</v>
      </c>
      <c r="F44" s="11" t="s">
        <v>74</v>
      </c>
      <c r="G44" s="33">
        <v>0.9</v>
      </c>
      <c r="H44" s="11" t="s">
        <v>68</v>
      </c>
      <c r="I44" s="17"/>
      <c r="J44" s="17">
        <v>7.3116279069767431</v>
      </c>
      <c r="K44" s="17"/>
      <c r="L44" s="17"/>
      <c r="M44" s="17">
        <v>4.3166511627906976</v>
      </c>
      <c r="N44" s="17">
        <v>2.1581395348837207</v>
      </c>
      <c r="O44" s="17">
        <v>8.6331102357956091</v>
      </c>
      <c r="P44" s="17"/>
      <c r="Q44" s="17"/>
      <c r="R44" s="17">
        <v>24.205953488372092</v>
      </c>
      <c r="S44" s="17">
        <v>25.674418604651162</v>
      </c>
      <c r="T44" s="17">
        <v>13.69339534883721</v>
      </c>
      <c r="U44" s="18">
        <f t="shared" si="24"/>
        <v>85.993296282307242</v>
      </c>
      <c r="V44" s="18">
        <f>IFERROR(VLOOKUP(H44,Anexo!$C$24:$D$29,2,FALSE),"")</f>
        <v>1</v>
      </c>
      <c r="W44" s="18">
        <f t="shared" si="25"/>
        <v>85.993296282307242</v>
      </c>
      <c r="X44" s="18">
        <f t="shared" si="26"/>
        <v>77.393966654076522</v>
      </c>
      <c r="Y44" s="18">
        <f t="shared" si="27"/>
        <v>8.5993296282307217</v>
      </c>
      <c r="Z44" s="18">
        <f>IFERROR(VLOOKUP(E44,FE!$I$10:$N$21,4,FALSE),"")</f>
        <v>10.148999999999999</v>
      </c>
      <c r="AA44" s="18">
        <f>IFERROR(VLOOKUP(E44,FE!$I$10:$N$21,5,FALSE),"")</f>
        <v>1.0000000000000001E-5</v>
      </c>
      <c r="AB44" s="41">
        <f>IFERROR(VLOOKUP(E44,FE!$I$10:$N$21,6,FALSE),"")</f>
        <v>6.0000000000000002E-6</v>
      </c>
      <c r="AC44" s="18">
        <f>IFERROR(VLOOKUP(F44,FE!$I$10:$N$21,4,FALSE),"")</f>
        <v>6.8819999999999997</v>
      </c>
      <c r="AD44" s="18">
        <f>IFERROR(VLOOKUP(F44,FE!$I$10:$N$21,5,FALSE),"")</f>
        <v>2.5999999999999998E-5</v>
      </c>
      <c r="AE44" s="41">
        <f>IFERROR(VLOOKUP(F44,FE!$I$10:$N$21,6,FALSE),"")</f>
        <v>5.0000000000000004E-6</v>
      </c>
      <c r="AF44" s="18">
        <f>IFERROR(X44*Z44/1000,"")</f>
        <v>0.78547136757222258</v>
      </c>
      <c r="AG44" s="18">
        <f t="shared" si="29"/>
        <v>7.7393966654076522E-7</v>
      </c>
      <c r="AH44" s="18">
        <f t="shared" si="30"/>
        <v>4.6436379992445914E-7</v>
      </c>
      <c r="AI44" s="18">
        <f t="shared" si="31"/>
        <v>5.918058650148382E-2</v>
      </c>
      <c r="AJ44" s="18">
        <f t="shared" si="32"/>
        <v>2.2358257033399875E-7</v>
      </c>
      <c r="AK44" s="18">
        <f t="shared" si="33"/>
        <v>4.2996648141153612E-8</v>
      </c>
      <c r="AL44" s="18">
        <f>IFERROR(AF44+(AG44*PCG!$D$9)+(AH44*PCG!$D$11)+(AJ44*PCG!$D$10)+(AK44*PCG!$D$11),"")</f>
        <v>0.78563917833031971</v>
      </c>
      <c r="AM44" s="18">
        <f t="shared" si="34"/>
        <v>7</v>
      </c>
      <c r="AN44" s="18">
        <f t="shared" si="35"/>
        <v>12.284756611758178</v>
      </c>
      <c r="AO44" s="18">
        <f t="shared" si="36"/>
        <v>9.3762808421340846</v>
      </c>
      <c r="AP44" s="18">
        <f>IF(AM44&gt;1,VLOOKUP(AM44,Anexo!$G$7:$H$19,2,FALSE),0)</f>
        <v>2.4500000000000002</v>
      </c>
      <c r="AQ44" s="30">
        <f t="shared" si="37"/>
        <v>0.70677489511959368</v>
      </c>
      <c r="AR44" s="30">
        <f>IF(AM44&gt;0,VLOOKUP(E44,FE!$I$10:$K$21,3,FALSE),0)</f>
        <v>2.0500000000000002E-3</v>
      </c>
      <c r="AS44" s="30">
        <f t="shared" si="38"/>
        <v>0.70677786812499488</v>
      </c>
      <c r="AT44" s="18">
        <f t="shared" si="39"/>
        <v>0.30832741996192375</v>
      </c>
    </row>
    <row r="45" spans="2:46" ht="25.5">
      <c r="C45" s="11" t="s">
        <v>64</v>
      </c>
      <c r="D45" s="11" t="s">
        <v>75</v>
      </c>
      <c r="E45" s="11" t="s">
        <v>73</v>
      </c>
      <c r="F45" s="11" t="s">
        <v>74</v>
      </c>
      <c r="G45" s="33">
        <v>0.9</v>
      </c>
      <c r="H45" s="11" t="s">
        <v>68</v>
      </c>
      <c r="I45" s="17"/>
      <c r="J45" s="17">
        <v>16.451162790697673</v>
      </c>
      <c r="K45" s="17"/>
      <c r="L45" s="17"/>
      <c r="M45" s="17">
        <v>9.7124651162790716</v>
      </c>
      <c r="N45" s="17">
        <v>4.8558139534883722</v>
      </c>
      <c r="O45" s="17">
        <v>19.424498030540121</v>
      </c>
      <c r="P45" s="17"/>
      <c r="Q45" s="17"/>
      <c r="R45" s="17">
        <v>54.46339534883721</v>
      </c>
      <c r="S45" s="17">
        <v>57.767441860465119</v>
      </c>
      <c r="T45" s="17">
        <v>30.810139534883724</v>
      </c>
      <c r="U45" s="18">
        <f t="shared" si="24"/>
        <v>193.48491663519127</v>
      </c>
      <c r="V45" s="18">
        <f>IFERROR(VLOOKUP(H45,Anexo!$C$24:$D$29,2,FALSE),"")</f>
        <v>1</v>
      </c>
      <c r="W45" s="18">
        <f t="shared" si="25"/>
        <v>193.48491663519127</v>
      </c>
      <c r="X45" s="18">
        <f t="shared" si="26"/>
        <v>174.13642497167214</v>
      </c>
      <c r="Y45" s="18">
        <f t="shared" si="27"/>
        <v>19.348491663519123</v>
      </c>
      <c r="Z45" s="18">
        <f>IFERROR(VLOOKUP(E45,FE!$I$10:$N$21,4,FALSE),"")</f>
        <v>10.148999999999999</v>
      </c>
      <c r="AA45" s="18">
        <f>IFERROR(VLOOKUP(E45,FE!$I$10:$N$21,5,FALSE),"")</f>
        <v>1.0000000000000001E-5</v>
      </c>
      <c r="AB45" s="41">
        <f>IFERROR(VLOOKUP(E45,FE!$I$10:$N$21,6,FALSE),"")</f>
        <v>6.0000000000000002E-6</v>
      </c>
      <c r="AC45" s="18">
        <f>IFERROR(VLOOKUP(F45,FE!$I$10:$N$21,4,FALSE),"")</f>
        <v>6.8819999999999997</v>
      </c>
      <c r="AD45" s="18">
        <f>IFERROR(VLOOKUP(F45,FE!$I$10:$N$21,5,FALSE),"")</f>
        <v>2.5999999999999998E-5</v>
      </c>
      <c r="AE45" s="41">
        <f>IFERROR(VLOOKUP(F45,FE!$I$10:$N$21,6,FALSE),"")</f>
        <v>5.0000000000000004E-6</v>
      </c>
      <c r="AF45" s="18">
        <f>IFERROR(X45*Z45/1000,"")</f>
        <v>1.7673105770375004</v>
      </c>
      <c r="AG45" s="18">
        <f t="shared" ref="AG45" si="40">IFERROR(X45*AA45/1000,"")</f>
        <v>1.7413642497167216E-6</v>
      </c>
      <c r="AH45" s="18">
        <f t="shared" ref="AH45" si="41">IFERROR(X45*AB45/1000,"")</f>
        <v>1.044818549830033E-6</v>
      </c>
      <c r="AI45" s="18">
        <f t="shared" ref="AI45" si="42">IFERROR(Y45*AC45/1000,"")</f>
        <v>0.1331563196283386</v>
      </c>
      <c r="AJ45" s="18">
        <f t="shared" ref="AJ45" si="43">IFERROR(Y45*AD45/1000,"")</f>
        <v>5.0306078325149715E-7</v>
      </c>
      <c r="AK45" s="18">
        <f t="shared" ref="AK45" si="44">IFERROR(Y45*AE45/1000,"")</f>
        <v>9.6742458317595626E-8</v>
      </c>
      <c r="AL45" s="18">
        <f>IFERROR(AF45+(AG45*PCG!$D$9)+(AH45*PCG!$D$11)+(AJ45*PCG!$D$10)+(AK45*PCG!$D$11),"")</f>
        <v>1.767688151243219</v>
      </c>
      <c r="AM45" s="18">
        <f t="shared" ref="AM45" si="45">COUNTIF(I45:T45,"&gt;0")</f>
        <v>7</v>
      </c>
      <c r="AN45" s="18">
        <f t="shared" ref="AN45" si="46">IF(AM45&gt;1,AVERAGE(I45:T45),0)</f>
        <v>27.640702376455895</v>
      </c>
      <c r="AO45" s="18">
        <f t="shared" ref="AO45" si="47">IF(AM45&gt;1,STDEV(I45:T45),0)</f>
        <v>21.0966318948017</v>
      </c>
      <c r="AP45" s="18">
        <f>IF(AM45&gt;1,VLOOKUP(AM45,Anexo!$G$7:$H$19,2,FALSE),0)</f>
        <v>2.4500000000000002</v>
      </c>
      <c r="AQ45" s="30">
        <f t="shared" ref="AQ45" si="48">IF(AM45&gt;1,1-((AN45-((AO45*AP45)/(SQRT(AM45))))/AN45),AR45)</f>
        <v>0.70677489511959413</v>
      </c>
      <c r="AR45" s="30">
        <f>IF(AM45&gt;0,VLOOKUP(E45,FE!$I$10:$K$21,3,FALSE),0)</f>
        <v>2.0500000000000002E-3</v>
      </c>
      <c r="AS45" s="30">
        <f t="shared" ref="AS45" si="49">SQRT((AQ45*AQ45)+(AR45*AR45))</f>
        <v>0.70677786812499532</v>
      </c>
      <c r="AT45" s="18">
        <f t="shared" si="39"/>
        <v>1.5609075635572405</v>
      </c>
    </row>
    <row r="46" spans="2:46" ht="29.25" customHeight="1">
      <c r="C46" s="11" t="s">
        <v>76</v>
      </c>
      <c r="D46" s="11" t="s">
        <v>70</v>
      </c>
      <c r="E46" s="11" t="s">
        <v>66</v>
      </c>
      <c r="F46" s="11" t="s">
        <v>67</v>
      </c>
      <c r="G46" s="33">
        <v>0.9</v>
      </c>
      <c r="H46" s="11" t="s">
        <v>68</v>
      </c>
      <c r="I46" s="17"/>
      <c r="J46" s="17">
        <v>8.6393599999999999</v>
      </c>
      <c r="K46" s="17">
        <v>20.524160000000002</v>
      </c>
      <c r="L46" s="17"/>
      <c r="M46" s="17">
        <v>25.844799999999999</v>
      </c>
      <c r="N46" s="17">
        <v>4.7888000000000002</v>
      </c>
      <c r="O46" s="17">
        <v>6.8990400000000003</v>
      </c>
      <c r="P46" s="17">
        <v>16</v>
      </c>
      <c r="Q46" s="17">
        <v>23.344480000000001</v>
      </c>
      <c r="R46" s="17">
        <v>17.62256</v>
      </c>
      <c r="S46" s="17">
        <v>10.72</v>
      </c>
      <c r="T46" s="17">
        <v>10.573440000000002</v>
      </c>
      <c r="U46" s="18">
        <f t="shared" si="24"/>
        <v>144.95664000000002</v>
      </c>
      <c r="V46" s="18">
        <f>IFERROR(VLOOKUP(H46,Anexo!$C$24:$D$29,2,FALSE),"")</f>
        <v>1</v>
      </c>
      <c r="W46" s="18">
        <f t="shared" si="25"/>
        <v>144.95664000000002</v>
      </c>
      <c r="X46" s="18">
        <f t="shared" si="26"/>
        <v>130.46097600000002</v>
      </c>
      <c r="Y46" s="18">
        <f t="shared" si="27"/>
        <v>14.495664</v>
      </c>
      <c r="Z46" s="18">
        <f>IFERROR(VLOOKUP(E46,FE!$I$10:$N$21,4,FALSE),"")</f>
        <v>8.8079999999999998</v>
      </c>
      <c r="AA46" s="18">
        <f>IFERROR(VLOOKUP(E46,FE!$I$10:$N$21,5,FALSE),"")</f>
        <v>2.6999999999999999E-5</v>
      </c>
      <c r="AB46" s="41">
        <f>IFERROR(VLOOKUP(E46,FE!$I$10:$N$21,6,FALSE),"")</f>
        <v>5.0000000000000004E-6</v>
      </c>
      <c r="AC46" s="18">
        <f>IFERROR(VLOOKUP(F46,FE!$I$10:$N$21,4,FALSE),"")</f>
        <v>5.92</v>
      </c>
      <c r="AD46" s="18">
        <f>IFERROR(VLOOKUP(F46,FE!$I$10:$N$21,5,FALSE),"")</f>
        <v>1.4999999999999999E-5</v>
      </c>
      <c r="AE46" s="41">
        <f>IFERROR(VLOOKUP(F46,FE!$I$10:$N$21,6,FALSE),"")</f>
        <v>3.0000000000000001E-6</v>
      </c>
      <c r="AF46" s="18">
        <f t="shared" si="28"/>
        <v>1.1491002766080001</v>
      </c>
      <c r="AG46" s="18">
        <f t="shared" si="29"/>
        <v>3.5224463519999999E-6</v>
      </c>
      <c r="AH46" s="18">
        <f t="shared" si="30"/>
        <v>6.5230488000000011E-7</v>
      </c>
      <c r="AI46" s="18">
        <f t="shared" si="31"/>
        <v>8.5814330879999998E-2</v>
      </c>
      <c r="AJ46" s="18">
        <f t="shared" si="32"/>
        <v>2.1743495999999998E-7</v>
      </c>
      <c r="AK46" s="18">
        <f t="shared" si="33"/>
        <v>4.3486991999999995E-8</v>
      </c>
      <c r="AL46" s="18">
        <f>IFERROR(AF46+(AG46*PCG!$D$9)+(AH46*PCG!$D$11)+(AJ46*PCG!$D$10)+(AK46*PCG!$D$11),"")</f>
        <v>1.1494012631257295</v>
      </c>
      <c r="AM46" s="18">
        <f t="shared" si="34"/>
        <v>10</v>
      </c>
      <c r="AN46" s="18">
        <f t="shared" si="35"/>
        <v>14.495664000000001</v>
      </c>
      <c r="AO46" s="18">
        <f t="shared" si="36"/>
        <v>7.2369068220971</v>
      </c>
      <c r="AP46" s="18">
        <f>IF(AM46&gt;1,VLOOKUP(AM46,Anexo!$G$7:$H$19,2,FALSE),0)</f>
        <v>2.2599999999999998</v>
      </c>
      <c r="AQ46" s="30">
        <f t="shared" si="37"/>
        <v>0.35679873529944839</v>
      </c>
      <c r="AR46" s="30">
        <f>IF(AM46&gt;0,VLOOKUP(E46,FE!$I$10:$K$21,3,FALSE),0)</f>
        <v>2.0300000000000001E-3</v>
      </c>
      <c r="AS46" s="30">
        <f t="shared" si="38"/>
        <v>0.35680451007699698</v>
      </c>
      <c r="AT46" s="18">
        <f t="shared" si="39"/>
        <v>0.16819148719301749</v>
      </c>
    </row>
    <row r="47" spans="2:46" ht="25.5">
      <c r="C47" s="11" t="s">
        <v>77</v>
      </c>
      <c r="D47" s="11" t="s">
        <v>70</v>
      </c>
      <c r="E47" s="11" t="s">
        <v>66</v>
      </c>
      <c r="F47" s="11" t="s">
        <v>67</v>
      </c>
      <c r="G47" s="33">
        <v>0.9</v>
      </c>
      <c r="H47" s="11" t="s">
        <v>68</v>
      </c>
      <c r="I47" s="17"/>
      <c r="J47" s="17">
        <v>7.1994666666666669</v>
      </c>
      <c r="K47" s="17">
        <v>17.103466666666669</v>
      </c>
      <c r="L47" s="17"/>
      <c r="M47" s="17">
        <v>21.537333333333333</v>
      </c>
      <c r="N47" s="17">
        <v>3.9906666666666664</v>
      </c>
      <c r="O47" s="17">
        <v>5.7492000000000001</v>
      </c>
      <c r="P47" s="17">
        <v>13.333333333333334</v>
      </c>
      <c r="Q47" s="17">
        <v>19.453733333333332</v>
      </c>
      <c r="R47" s="17">
        <v>14.685466666666667</v>
      </c>
      <c r="S47" s="17">
        <v>8.9333333333333336</v>
      </c>
      <c r="T47" s="17">
        <v>8.8111999999999995</v>
      </c>
      <c r="U47" s="18">
        <f t="shared" si="24"/>
        <v>120.7972</v>
      </c>
      <c r="V47" s="18">
        <f>IFERROR(VLOOKUP(H47,Anexo!$C$24:$D$29,2,FALSE),"")</f>
        <v>1</v>
      </c>
      <c r="W47" s="18">
        <f t="shared" si="25"/>
        <v>120.7972</v>
      </c>
      <c r="X47" s="18">
        <f t="shared" si="26"/>
        <v>108.71748000000001</v>
      </c>
      <c r="Y47" s="18">
        <f t="shared" si="27"/>
        <v>12.079719999999998</v>
      </c>
      <c r="Z47" s="18">
        <f>IFERROR(VLOOKUP(E47,FE!$I$10:$N$21,4,FALSE),"")</f>
        <v>8.8079999999999998</v>
      </c>
      <c r="AA47" s="18">
        <f>IFERROR(VLOOKUP(E47,FE!$I$10:$N$21,5,FALSE),"")</f>
        <v>2.6999999999999999E-5</v>
      </c>
      <c r="AB47" s="41">
        <f>IFERROR(VLOOKUP(E47,FE!$I$10:$N$21,6,FALSE),"")</f>
        <v>5.0000000000000004E-6</v>
      </c>
      <c r="AC47" s="18">
        <f>IFERROR(VLOOKUP(F47,FE!$I$10:$N$21,4,FALSE),"")</f>
        <v>5.92</v>
      </c>
      <c r="AD47" s="18">
        <f>IFERROR(VLOOKUP(F47,FE!$I$10:$N$21,5,FALSE),"")</f>
        <v>1.4999999999999999E-5</v>
      </c>
      <c r="AE47" s="41">
        <f>IFERROR(VLOOKUP(F47,FE!$I$10:$N$21,6,FALSE),"")</f>
        <v>3.0000000000000001E-6</v>
      </c>
      <c r="AF47" s="18">
        <f t="shared" si="28"/>
        <v>0.95758356383999998</v>
      </c>
      <c r="AG47" s="18">
        <f t="shared" si="29"/>
        <v>2.9353719600000002E-6</v>
      </c>
      <c r="AH47" s="18">
        <f t="shared" si="30"/>
        <v>5.4358740000000011E-7</v>
      </c>
      <c r="AI47" s="18">
        <f t="shared" si="31"/>
        <v>7.15119424E-2</v>
      </c>
      <c r="AJ47" s="18">
        <f t="shared" si="32"/>
        <v>1.8119579999999997E-7</v>
      </c>
      <c r="AK47" s="18">
        <f t="shared" si="33"/>
        <v>3.6239159999999996E-8</v>
      </c>
      <c r="AL47" s="18">
        <f>IFERROR(AF47+(AG47*PCG!$D$9)+(AH47*PCG!$D$11)+(AJ47*PCG!$D$10)+(AK47*PCG!$D$11),"")</f>
        <v>0.95783438593810799</v>
      </c>
      <c r="AM47" s="18">
        <f t="shared" si="34"/>
        <v>10</v>
      </c>
      <c r="AN47" s="18">
        <f t="shared" si="35"/>
        <v>12.07972</v>
      </c>
      <c r="AO47" s="18">
        <f t="shared" si="36"/>
        <v>6.0307556850809183</v>
      </c>
      <c r="AP47" s="18">
        <f>IF(AM47&gt;1,VLOOKUP(AM47,Anexo!$G$7:$H$19,2,FALSE),0)</f>
        <v>2.2599999999999998</v>
      </c>
      <c r="AQ47" s="30">
        <f t="shared" si="37"/>
        <v>0.35679873529944839</v>
      </c>
      <c r="AR47" s="30">
        <f>IF(AM47&gt;0,VLOOKUP(E47,FE!$I$10:$K$21,3,FALSE),0)</f>
        <v>2.0300000000000001E-3</v>
      </c>
      <c r="AS47" s="30">
        <f t="shared" si="38"/>
        <v>0.35680451007699698</v>
      </c>
      <c r="AT47" s="18">
        <f t="shared" si="39"/>
        <v>0.11679964388403993</v>
      </c>
    </row>
    <row r="48" spans="2:46" ht="25.5">
      <c r="C48" s="11" t="s">
        <v>77</v>
      </c>
      <c r="D48" s="11" t="s">
        <v>72</v>
      </c>
      <c r="E48" s="11" t="s">
        <v>73</v>
      </c>
      <c r="F48" s="11" t="s">
        <v>74</v>
      </c>
      <c r="G48" s="33">
        <v>0.9</v>
      </c>
      <c r="H48" s="11" t="s">
        <v>68</v>
      </c>
      <c r="I48" s="17"/>
      <c r="J48" s="17">
        <v>8.2255813953488364</v>
      </c>
      <c r="K48" s="17"/>
      <c r="L48" s="17"/>
      <c r="M48" s="17">
        <v>4.8562325581395358</v>
      </c>
      <c r="N48" s="17">
        <v>2.4279069767441861</v>
      </c>
      <c r="O48" s="17">
        <v>9.7122490152700607</v>
      </c>
      <c r="P48" s="17"/>
      <c r="Q48" s="17"/>
      <c r="R48" s="17">
        <v>27.231697674418605</v>
      </c>
      <c r="S48" s="17">
        <v>28.88372093023256</v>
      </c>
      <c r="T48" s="17">
        <v>15.405069767441862</v>
      </c>
      <c r="U48" s="18">
        <f t="shared" si="24"/>
        <v>96.742458317595634</v>
      </c>
      <c r="V48" s="18">
        <f>IFERROR(VLOOKUP(H48,Anexo!$C$24:$D$29,2,FALSE),"")</f>
        <v>1</v>
      </c>
      <c r="W48" s="18">
        <f t="shared" si="25"/>
        <v>96.742458317595634</v>
      </c>
      <c r="X48" s="18">
        <f t="shared" si="26"/>
        <v>87.068212485836071</v>
      </c>
      <c r="Y48" s="18">
        <f t="shared" si="27"/>
        <v>9.6742458317595617</v>
      </c>
      <c r="Z48" s="18">
        <f>IFERROR(VLOOKUP(E48,FE!$I$10:$N$21,4,FALSE),"")</f>
        <v>10.148999999999999</v>
      </c>
      <c r="AA48" s="18">
        <f>IFERROR(VLOOKUP(E48,FE!$I$10:$N$21,5,FALSE),"")</f>
        <v>1.0000000000000001E-5</v>
      </c>
      <c r="AB48" s="41">
        <f>IFERROR(VLOOKUP(E48,FE!$I$10:$N$21,6,FALSE),"")</f>
        <v>6.0000000000000002E-6</v>
      </c>
      <c r="AC48" s="18">
        <f>IFERROR(VLOOKUP(F48,FE!$I$10:$N$21,4,FALSE),"")</f>
        <v>6.8819999999999997</v>
      </c>
      <c r="AD48" s="18">
        <f>IFERROR(VLOOKUP(F48,FE!$I$10:$N$21,5,FALSE),"")</f>
        <v>2.5999999999999998E-5</v>
      </c>
      <c r="AE48" s="41">
        <f>IFERROR(VLOOKUP(F48,FE!$I$10:$N$21,6,FALSE),"")</f>
        <v>5.0000000000000004E-6</v>
      </c>
      <c r="AF48" s="18">
        <f t="shared" si="28"/>
        <v>0.88365528851875019</v>
      </c>
      <c r="AG48" s="18">
        <f t="shared" si="29"/>
        <v>8.7068212485836078E-7</v>
      </c>
      <c r="AH48" s="18">
        <f t="shared" si="30"/>
        <v>5.2240927491501649E-7</v>
      </c>
      <c r="AI48" s="18">
        <f t="shared" si="31"/>
        <v>6.6578159814169299E-2</v>
      </c>
      <c r="AJ48" s="18">
        <f t="shared" si="32"/>
        <v>2.5153039162574857E-7</v>
      </c>
      <c r="AK48" s="18">
        <f t="shared" si="33"/>
        <v>4.8371229158797813E-8</v>
      </c>
      <c r="AL48" s="18">
        <f>IFERROR(AF48+(AG48*PCG!$D$9)+(AH48*PCG!$D$11)+(AJ48*PCG!$D$10)+(AK48*PCG!$D$11),"")</f>
        <v>0.88384407562160949</v>
      </c>
      <c r="AM48" s="18">
        <f t="shared" si="34"/>
        <v>7</v>
      </c>
      <c r="AN48" s="18">
        <f t="shared" si="35"/>
        <v>13.820351188227948</v>
      </c>
      <c r="AO48" s="18">
        <f t="shared" si="36"/>
        <v>10.54831594740085</v>
      </c>
      <c r="AP48" s="18">
        <f>IF(AM48&gt;1,VLOOKUP(AM48,Anexo!$G$7:$H$19,2,FALSE),0)</f>
        <v>2.4500000000000002</v>
      </c>
      <c r="AQ48" s="30">
        <f t="shared" si="37"/>
        <v>0.70677489511959413</v>
      </c>
      <c r="AR48" s="30">
        <f>IF(AM48&gt;0,VLOOKUP(E48,FE!$I$10:$K$21,3,FALSE),0)</f>
        <v>2.0500000000000002E-3</v>
      </c>
      <c r="AS48" s="30">
        <f t="shared" si="38"/>
        <v>0.70677786812499532</v>
      </c>
      <c r="AT48" s="18">
        <f t="shared" si="39"/>
        <v>0.39022689088931012</v>
      </c>
    </row>
    <row r="49" spans="2:46" ht="25.5">
      <c r="C49" s="11" t="s">
        <v>77</v>
      </c>
      <c r="D49" s="11" t="s">
        <v>78</v>
      </c>
      <c r="E49" s="11" t="s">
        <v>66</v>
      </c>
      <c r="F49" s="11" t="s">
        <v>67</v>
      </c>
      <c r="G49" s="33">
        <v>0.9</v>
      </c>
      <c r="H49" s="11" t="s">
        <v>68</v>
      </c>
      <c r="I49" s="17"/>
      <c r="J49" s="17">
        <v>1.4398933333333335</v>
      </c>
      <c r="K49" s="17">
        <v>3.4206933333333338</v>
      </c>
      <c r="L49" s="17"/>
      <c r="M49" s="17">
        <v>4.3074666666666666</v>
      </c>
      <c r="N49" s="17">
        <v>0.79813333333333336</v>
      </c>
      <c r="O49" s="17">
        <v>1.14984</v>
      </c>
      <c r="P49" s="17">
        <v>2.666666666666667</v>
      </c>
      <c r="Q49" s="17">
        <v>3.8907466666666668</v>
      </c>
      <c r="R49" s="17">
        <v>2.9370933333333338</v>
      </c>
      <c r="S49" s="17">
        <v>1.7866666666666668</v>
      </c>
      <c r="T49" s="17">
        <v>1.7622400000000003</v>
      </c>
      <c r="U49" s="18">
        <f t="shared" si="24"/>
        <v>24.159439999999996</v>
      </c>
      <c r="V49" s="18">
        <f>IFERROR(VLOOKUP(H49,Anexo!$C$24:$D$29,2,FALSE),"")</f>
        <v>1</v>
      </c>
      <c r="W49" s="18">
        <f t="shared" si="25"/>
        <v>24.159439999999996</v>
      </c>
      <c r="X49" s="18">
        <f t="shared" si="26"/>
        <v>21.743495999999997</v>
      </c>
      <c r="Y49" s="18">
        <f t="shared" si="27"/>
        <v>2.4159439999999992</v>
      </c>
      <c r="Z49" s="18">
        <f>IFERROR(VLOOKUP(E49,FE!$I$10:$N$21,4,FALSE),"")</f>
        <v>8.8079999999999998</v>
      </c>
      <c r="AA49" s="18">
        <f>IFERROR(VLOOKUP(E49,FE!$I$10:$N$21,5,FALSE),"")</f>
        <v>2.6999999999999999E-5</v>
      </c>
      <c r="AB49" s="41">
        <f>IFERROR(VLOOKUP(E49,FE!$I$10:$N$21,6,FALSE),"")</f>
        <v>5.0000000000000004E-6</v>
      </c>
      <c r="AC49" s="18">
        <f>IFERROR(VLOOKUP(F49,FE!$I$10:$N$21,4,FALSE),"")</f>
        <v>5.92</v>
      </c>
      <c r="AD49" s="18">
        <f>IFERROR(VLOOKUP(F49,FE!$I$10:$N$21,5,FALSE),"")</f>
        <v>1.4999999999999999E-5</v>
      </c>
      <c r="AE49" s="41">
        <f>IFERROR(VLOOKUP(F49,FE!$I$10:$N$21,6,FALSE),"")</f>
        <v>3.0000000000000001E-6</v>
      </c>
      <c r="AF49" s="18">
        <f t="shared" si="28"/>
        <v>0.19151671276799997</v>
      </c>
      <c r="AG49" s="18">
        <f t="shared" si="29"/>
        <v>5.8707439199999992E-7</v>
      </c>
      <c r="AH49" s="18">
        <f t="shared" si="30"/>
        <v>1.0871747999999999E-7</v>
      </c>
      <c r="AI49" s="18">
        <f t="shared" si="31"/>
        <v>1.4302388479999996E-2</v>
      </c>
      <c r="AJ49" s="18">
        <f t="shared" si="32"/>
        <v>3.6239159999999989E-8</v>
      </c>
      <c r="AK49" s="18">
        <f t="shared" si="33"/>
        <v>7.2478319999999975E-9</v>
      </c>
      <c r="AL49" s="18">
        <f>IFERROR(AF49+(AG49*PCG!$D$9)+(AH49*PCG!$D$11)+(AJ49*PCG!$D$10)+(AK49*PCG!$D$11),"")</f>
        <v>0.19156687718762158</v>
      </c>
      <c r="AM49" s="18">
        <f t="shared" si="34"/>
        <v>10</v>
      </c>
      <c r="AN49" s="18">
        <f t="shared" si="35"/>
        <v>2.4159439999999996</v>
      </c>
      <c r="AO49" s="18">
        <f t="shared" si="36"/>
        <v>1.2061511370161844</v>
      </c>
      <c r="AP49" s="18">
        <f>IF(AM49&gt;1,VLOOKUP(AM49,Anexo!$G$7:$H$19,2,FALSE),0)</f>
        <v>2.2599999999999998</v>
      </c>
      <c r="AQ49" s="30">
        <f t="shared" si="37"/>
        <v>0.35679873529944861</v>
      </c>
      <c r="AR49" s="30">
        <f>IF(AM49&gt;0,VLOOKUP(E49,FE!$I$10:$K$21,3,FALSE),0)</f>
        <v>2.0300000000000001E-3</v>
      </c>
      <c r="AS49" s="30">
        <f t="shared" si="38"/>
        <v>0.35680451007699721</v>
      </c>
      <c r="AT49" s="18">
        <f t="shared" si="39"/>
        <v>4.6719857553616032E-3</v>
      </c>
    </row>
    <row r="50" spans="2:46" ht="25.5">
      <c r="C50" s="11" t="s">
        <v>77</v>
      </c>
      <c r="D50" s="11" t="s">
        <v>79</v>
      </c>
      <c r="E50" s="11" t="s">
        <v>66</v>
      </c>
      <c r="F50" s="11" t="s">
        <v>67</v>
      </c>
      <c r="G50" s="33">
        <v>0.9</v>
      </c>
      <c r="H50" s="11" t="s">
        <v>68</v>
      </c>
      <c r="I50" s="17"/>
      <c r="J50" s="17">
        <v>1.4398933333333335</v>
      </c>
      <c r="K50" s="17">
        <v>3.4206933333333338</v>
      </c>
      <c r="L50" s="17"/>
      <c r="M50" s="17">
        <v>4.3074666666666666</v>
      </c>
      <c r="N50" s="17">
        <v>0.79813333333333336</v>
      </c>
      <c r="O50" s="17">
        <v>1.14984</v>
      </c>
      <c r="P50" s="17">
        <v>2.666666666666667</v>
      </c>
      <c r="Q50" s="17">
        <v>3.8907466666666668</v>
      </c>
      <c r="R50" s="17">
        <v>2.9370933333333338</v>
      </c>
      <c r="S50" s="17">
        <v>1.7866666666666668</v>
      </c>
      <c r="T50" s="17">
        <v>1.7622400000000003</v>
      </c>
      <c r="U50" s="18">
        <f t="shared" si="24"/>
        <v>24.159439999999996</v>
      </c>
      <c r="V50" s="18">
        <f>IFERROR(VLOOKUP(H50,Anexo!$C$24:$D$29,2,FALSE),"")</f>
        <v>1</v>
      </c>
      <c r="W50" s="18">
        <f t="shared" si="25"/>
        <v>24.159439999999996</v>
      </c>
      <c r="X50" s="18">
        <f t="shared" si="26"/>
        <v>21.743495999999997</v>
      </c>
      <c r="Y50" s="18">
        <f t="shared" si="27"/>
        <v>2.4159439999999992</v>
      </c>
      <c r="Z50" s="18">
        <f>IFERROR(VLOOKUP(E50,FE!$I$10:$N$21,4,FALSE),"")</f>
        <v>8.8079999999999998</v>
      </c>
      <c r="AA50" s="18">
        <f>IFERROR(VLOOKUP(E50,FE!$I$10:$N$21,5,FALSE),"")</f>
        <v>2.6999999999999999E-5</v>
      </c>
      <c r="AB50" s="41">
        <f>IFERROR(VLOOKUP(E50,FE!$I$10:$N$21,6,FALSE),"")</f>
        <v>5.0000000000000004E-6</v>
      </c>
      <c r="AC50" s="18">
        <f>IFERROR(VLOOKUP(F50,FE!$I$10:$N$21,4,FALSE),"")</f>
        <v>5.92</v>
      </c>
      <c r="AD50" s="18">
        <f>IFERROR(VLOOKUP(F50,FE!$I$10:$N$21,5,FALSE),"")</f>
        <v>1.4999999999999999E-5</v>
      </c>
      <c r="AE50" s="41">
        <f>IFERROR(VLOOKUP(F50,FE!$I$10:$N$21,6,FALSE),"")</f>
        <v>3.0000000000000001E-6</v>
      </c>
      <c r="AF50" s="18">
        <f t="shared" si="28"/>
        <v>0.19151671276799997</v>
      </c>
      <c r="AG50" s="18">
        <f t="shared" si="29"/>
        <v>5.8707439199999992E-7</v>
      </c>
      <c r="AH50" s="18">
        <f t="shared" si="30"/>
        <v>1.0871747999999999E-7</v>
      </c>
      <c r="AI50" s="18">
        <f t="shared" si="31"/>
        <v>1.4302388479999996E-2</v>
      </c>
      <c r="AJ50" s="18">
        <f t="shared" si="32"/>
        <v>3.6239159999999989E-8</v>
      </c>
      <c r="AK50" s="18">
        <f t="shared" si="33"/>
        <v>7.2478319999999975E-9</v>
      </c>
      <c r="AL50" s="18">
        <f>IFERROR(AF50+(AG50*PCG!$D$9)+(AH50*PCG!$D$11)+(AJ50*PCG!$D$10)+(AK50*PCG!$D$11),"")</f>
        <v>0.19156687718762158</v>
      </c>
      <c r="AM50" s="18">
        <f t="shared" si="34"/>
        <v>10</v>
      </c>
      <c r="AN50" s="18">
        <f t="shared" si="35"/>
        <v>2.4159439999999996</v>
      </c>
      <c r="AO50" s="18">
        <f t="shared" si="36"/>
        <v>1.2061511370161844</v>
      </c>
      <c r="AP50" s="18">
        <f>IF(AM50&gt;1,VLOOKUP(AM50,Anexo!$G$7:$H$19,2,FALSE),0)</f>
        <v>2.2599999999999998</v>
      </c>
      <c r="AQ50" s="30">
        <f t="shared" si="37"/>
        <v>0.35679873529944861</v>
      </c>
      <c r="AR50" s="30">
        <f>IF(AM50&gt;0,VLOOKUP(E50,FE!$I$10:$K$21,3,FALSE),0)</f>
        <v>2.0300000000000001E-3</v>
      </c>
      <c r="AS50" s="30">
        <f t="shared" si="38"/>
        <v>0.35680451007699721</v>
      </c>
      <c r="AT50" s="18">
        <f t="shared" si="39"/>
        <v>4.6719857553616032E-3</v>
      </c>
    </row>
    <row r="51" spans="2:46" ht="25.5">
      <c r="C51" s="11" t="s">
        <v>77</v>
      </c>
      <c r="D51" s="11" t="s">
        <v>80</v>
      </c>
      <c r="E51" s="11" t="s">
        <v>66</v>
      </c>
      <c r="F51" s="11" t="s">
        <v>67</v>
      </c>
      <c r="G51" s="33">
        <v>0.9</v>
      </c>
      <c r="H51" s="11" t="s">
        <v>68</v>
      </c>
      <c r="I51" s="17"/>
      <c r="J51" s="17">
        <v>2.8797866666666669</v>
      </c>
      <c r="K51" s="17">
        <v>6.8413866666666676</v>
      </c>
      <c r="L51" s="17"/>
      <c r="M51" s="17">
        <v>8.6149333333333331</v>
      </c>
      <c r="N51" s="17">
        <v>1.5962666666666667</v>
      </c>
      <c r="O51" s="17">
        <v>2.2996799999999999</v>
      </c>
      <c r="P51" s="17">
        <v>5.3333333333333339</v>
      </c>
      <c r="Q51" s="17">
        <v>7.7814933333333336</v>
      </c>
      <c r="R51" s="17">
        <v>5.8741866666666676</v>
      </c>
      <c r="S51" s="17">
        <v>3.5733333333333337</v>
      </c>
      <c r="T51" s="17">
        <v>3.5244800000000005</v>
      </c>
      <c r="U51" s="18">
        <f t="shared" si="24"/>
        <v>48.318879999999993</v>
      </c>
      <c r="V51" s="18">
        <f>IFERROR(VLOOKUP(H51,Anexo!$C$24:$D$29,2,FALSE),"")</f>
        <v>1</v>
      </c>
      <c r="W51" s="18">
        <f t="shared" si="25"/>
        <v>48.318879999999993</v>
      </c>
      <c r="X51" s="18">
        <f t="shared" si="26"/>
        <v>43.486991999999994</v>
      </c>
      <c r="Y51" s="18">
        <f t="shared" si="27"/>
        <v>4.8318879999999984</v>
      </c>
      <c r="Z51" s="18">
        <f>IFERROR(VLOOKUP(E51,FE!$I$10:$N$21,4,FALSE),"")</f>
        <v>8.8079999999999998</v>
      </c>
      <c r="AA51" s="18">
        <f>IFERROR(VLOOKUP(E51,FE!$I$10:$N$21,5,FALSE),"")</f>
        <v>2.6999999999999999E-5</v>
      </c>
      <c r="AB51" s="41">
        <f>IFERROR(VLOOKUP(E51,FE!$I$10:$N$21,6,FALSE),"")</f>
        <v>5.0000000000000004E-6</v>
      </c>
      <c r="AC51" s="18">
        <f>IFERROR(VLOOKUP(F51,FE!$I$10:$N$21,4,FALSE),"")</f>
        <v>5.92</v>
      </c>
      <c r="AD51" s="18">
        <f>IFERROR(VLOOKUP(F51,FE!$I$10:$N$21,5,FALSE),"")</f>
        <v>1.4999999999999999E-5</v>
      </c>
      <c r="AE51" s="41">
        <f>IFERROR(VLOOKUP(F51,FE!$I$10:$N$21,6,FALSE),"")</f>
        <v>3.0000000000000001E-6</v>
      </c>
      <c r="AF51" s="18">
        <f t="shared" si="28"/>
        <v>0.38303342553599995</v>
      </c>
      <c r="AG51" s="18">
        <f t="shared" si="29"/>
        <v>1.1741487839999998E-6</v>
      </c>
      <c r="AH51" s="18">
        <f t="shared" si="30"/>
        <v>2.1743495999999998E-7</v>
      </c>
      <c r="AI51" s="18">
        <f t="shared" si="31"/>
        <v>2.8604776959999991E-2</v>
      </c>
      <c r="AJ51" s="18">
        <f t="shared" si="32"/>
        <v>7.2478319999999978E-8</v>
      </c>
      <c r="AK51" s="18">
        <f t="shared" si="33"/>
        <v>1.4495663999999995E-8</v>
      </c>
      <c r="AL51" s="18">
        <f>IFERROR(AF51+(AG51*PCG!$D$9)+(AH51*PCG!$D$11)+(AJ51*PCG!$D$10)+(AK51*PCG!$D$11),"")</f>
        <v>0.38313375437524316</v>
      </c>
      <c r="AM51" s="18">
        <f t="shared" si="34"/>
        <v>10</v>
      </c>
      <c r="AN51" s="18">
        <f t="shared" si="35"/>
        <v>4.8318879999999993</v>
      </c>
      <c r="AO51" s="18">
        <f t="shared" si="36"/>
        <v>2.4123022740323687</v>
      </c>
      <c r="AP51" s="18">
        <f>IF(AM51&gt;1,VLOOKUP(AM51,Anexo!$G$7:$H$19,2,FALSE),0)</f>
        <v>2.2599999999999998</v>
      </c>
      <c r="AQ51" s="30">
        <f t="shared" si="37"/>
        <v>0.35679873529944861</v>
      </c>
      <c r="AR51" s="30">
        <f>IF(AM51&gt;0,VLOOKUP(E51,FE!$I$10:$K$21,3,FALSE),0)</f>
        <v>2.0300000000000001E-3</v>
      </c>
      <c r="AS51" s="30">
        <f t="shared" si="38"/>
        <v>0.35680451007699721</v>
      </c>
      <c r="AT51" s="18">
        <f t="shared" si="39"/>
        <v>1.8687943021446413E-2</v>
      </c>
    </row>
    <row r="52" spans="2:46">
      <c r="U52" s="29">
        <f>SUM(U39:U51)</f>
        <v>1368.1929675174013</v>
      </c>
      <c r="W52" s="29">
        <f>SUM(W39:W51)</f>
        <v>1368.1929675174013</v>
      </c>
      <c r="X52" s="29">
        <f>SUM(X39:X51)</f>
        <v>1231.3736707656615</v>
      </c>
      <c r="Y52" s="29">
        <f>SUM(Y39:Y51)</f>
        <v>136.8192967517401</v>
      </c>
      <c r="AF52" s="29">
        <f t="shared" ref="AF52:AL52" si="50">SUM(AF39:AF51)</f>
        <v>11.403785329500694</v>
      </c>
      <c r="AG52" s="29">
        <f t="shared" si="50"/>
        <v>2.6175215407656609E-5</v>
      </c>
      <c r="AH52" s="29">
        <f t="shared" si="50"/>
        <v>6.5728609245939686E-6</v>
      </c>
      <c r="AI52" s="29">
        <f t="shared" si="50"/>
        <v>0.85443522044547537</v>
      </c>
      <c r="AJ52" s="29">
        <f t="shared" si="50"/>
        <v>2.5607248155452425E-6</v>
      </c>
      <c r="AK52" s="29">
        <f t="shared" si="50"/>
        <v>5.0290068375870057E-7</v>
      </c>
      <c r="AL52" s="29">
        <f t="shared" si="50"/>
        <v>11.406568478061281</v>
      </c>
      <c r="AS52" s="31">
        <f>IF(AL52&gt;0,SQRT(SUM(AT39:AT51))/AL52,0)</f>
        <v>0.18502275455606645</v>
      </c>
      <c r="AT52" s="29">
        <f>(AL52*AS52)^2</f>
        <v>4.4541035430976423</v>
      </c>
    </row>
    <row r="55" spans="2:46" hidden="1">
      <c r="B55" s="2" t="s">
        <v>81</v>
      </c>
      <c r="C55" s="191" t="s">
        <v>82</v>
      </c>
      <c r="D55" s="192"/>
      <c r="E55" s="192"/>
      <c r="F55" s="193"/>
    </row>
    <row r="56" spans="2:46" hidden="1"/>
    <row r="57" spans="2:46" hidden="1">
      <c r="B57" s="2" t="s">
        <v>3</v>
      </c>
      <c r="C57" s="197" t="s">
        <v>43</v>
      </c>
      <c r="D57" s="197"/>
      <c r="E57" s="197"/>
      <c r="F57" s="197"/>
    </row>
    <row r="58" spans="2:46" ht="12.75" hidden="1" customHeight="1">
      <c r="C58" s="198" t="s">
        <v>44</v>
      </c>
      <c r="D58" s="198"/>
      <c r="E58" s="198"/>
      <c r="F58" s="198"/>
      <c r="G58" s="198"/>
      <c r="H58" s="198"/>
      <c r="I58" s="198"/>
      <c r="J58" s="198"/>
    </row>
    <row r="59" spans="2:46" ht="42.75" hidden="1" customHeight="1">
      <c r="C59" s="6" t="s">
        <v>6</v>
      </c>
      <c r="D59" s="7" t="s">
        <v>7</v>
      </c>
      <c r="E59" s="7" t="s">
        <v>8</v>
      </c>
      <c r="F59" s="7" t="s">
        <v>9</v>
      </c>
      <c r="G59" s="5" t="s">
        <v>10</v>
      </c>
      <c r="H59" s="5" t="s">
        <v>11</v>
      </c>
      <c r="I59" s="5" t="s">
        <v>12</v>
      </c>
      <c r="J59" s="5" t="s">
        <v>13</v>
      </c>
      <c r="K59" s="5" t="s">
        <v>14</v>
      </c>
      <c r="L59" s="5" t="s">
        <v>15</v>
      </c>
      <c r="M59" s="5" t="s">
        <v>16</v>
      </c>
      <c r="N59" s="5" t="s">
        <v>17</v>
      </c>
      <c r="O59" s="5" t="s">
        <v>18</v>
      </c>
      <c r="P59" s="5" t="s">
        <v>19</v>
      </c>
      <c r="Q59" s="5" t="s">
        <v>20</v>
      </c>
      <c r="R59" s="5" t="s">
        <v>21</v>
      </c>
      <c r="S59" s="5" t="s">
        <v>22</v>
      </c>
      <c r="T59" s="5" t="s">
        <v>23</v>
      </c>
      <c r="U59" s="5" t="s">
        <v>45</v>
      </c>
      <c r="V59" s="5" t="s">
        <v>46</v>
      </c>
      <c r="W59" s="5" t="s">
        <v>47</v>
      </c>
      <c r="X59" s="5" t="s">
        <v>48</v>
      </c>
      <c r="Y59" s="5" t="s">
        <v>28</v>
      </c>
      <c r="Z59" s="5" t="s">
        <v>29</v>
      </c>
      <c r="AA59" s="5" t="s">
        <v>30</v>
      </c>
      <c r="AB59" s="5" t="s">
        <v>31</v>
      </c>
      <c r="AC59" s="5" t="s">
        <v>32</v>
      </c>
      <c r="AD59" s="5" t="s">
        <v>33</v>
      </c>
      <c r="AE59" s="5" t="s">
        <v>34</v>
      </c>
      <c r="AF59" s="5" t="s">
        <v>35</v>
      </c>
      <c r="AG59" s="5" t="s">
        <v>36</v>
      </c>
      <c r="AH59" s="5" t="s">
        <v>37</v>
      </c>
      <c r="AI59" s="5" t="s">
        <v>38</v>
      </c>
      <c r="AJ59" s="5" t="s">
        <v>39</v>
      </c>
      <c r="AK59" s="5" t="s">
        <v>40</v>
      </c>
      <c r="AL59" s="5" t="s">
        <v>41</v>
      </c>
    </row>
    <row r="60" spans="2:46" hidden="1">
      <c r="C60" s="11"/>
      <c r="D60" s="11"/>
      <c r="E60" s="11"/>
      <c r="F60" s="1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>
        <f>SUM(G60:R60)</f>
        <v>0</v>
      </c>
      <c r="T60" s="39" t="str">
        <f>IFERROR(VLOOKUP(F60,Anexo!$C$14:$D$20,2,FALSE),"")</f>
        <v/>
      </c>
      <c r="U60" s="18" t="str">
        <f>IFERROR(S60*T60,"")</f>
        <v/>
      </c>
      <c r="V60" s="18" t="str">
        <f>IFERROR(VLOOKUP(E60,FE!$I$25:$P$41,4,FALSE),"")</f>
        <v/>
      </c>
      <c r="W60" s="18" t="str">
        <f>IFERROR(VLOOKUP(E60,FE!$I$25:$P$41,7,FALSE),"")</f>
        <v/>
      </c>
      <c r="X60" s="41" t="str">
        <f>IFERROR(VLOOKUP(E60,FE!$I$25:$P$41,8,FALSE),"")</f>
        <v/>
      </c>
      <c r="Y60" s="18" t="str">
        <f>IFERROR(VLOOKUP(E60,FE!$I$25:$P$41,2,FALSE),"")</f>
        <v/>
      </c>
      <c r="Z60" s="18" t="str">
        <f>IFERROR(IF(Y60="No",0,U60*V60/1000),"")</f>
        <v/>
      </c>
      <c r="AA60" s="18">
        <f>IFERROR(IF(Y60="No",U60*V60/1000,0),"")</f>
        <v>0</v>
      </c>
      <c r="AB60" s="18" t="str">
        <f>IFERROR(U60*W60/1000,"")</f>
        <v/>
      </c>
      <c r="AC60" s="18" t="str">
        <f>IFERROR(U60*X60/1000,"")</f>
        <v/>
      </c>
      <c r="AD60" s="18" t="str">
        <f>IFERROR(AA60+(IF(Y60="No",AB60*PCG!$D$9,AB60*PCG!$D$10))+ED_Combustibles!AC60*PCG!$D$11,"")</f>
        <v/>
      </c>
      <c r="AE60" s="18">
        <f>COUNTIF(G60:R60,"&gt;0")</f>
        <v>0</v>
      </c>
      <c r="AF60" s="18">
        <f>IF(AE60&gt;1,AVERAGE(G60:R60),0)</f>
        <v>0</v>
      </c>
      <c r="AG60" s="18">
        <f>IF(AE60&gt;1,STDEV(G60:R60),0)</f>
        <v>0</v>
      </c>
      <c r="AH60" s="18">
        <f>IF(AE60&gt;1,VLOOKUP(AE60,Anexo!$G$7:$H$19,2,FALSE),0)</f>
        <v>0</v>
      </c>
      <c r="AI60" s="30">
        <f>IF(AE60&gt;1,1-((AF60-((AG60*AH60)/(SQRT(AE60))))/AF60),AJ60)</f>
        <v>0</v>
      </c>
      <c r="AJ60" s="30">
        <f>IF(AE60&gt;0,VLOOKUP(E60,FE!$B$66:$G$87,3,FALSE),0)</f>
        <v>0</v>
      </c>
      <c r="AK60" s="30">
        <f>SQRT((AI60*AI60)+(AJ60*AJ60))</f>
        <v>0</v>
      </c>
      <c r="AL60" s="18">
        <f>IFERROR((AD60*AK60)^2,0)</f>
        <v>0</v>
      </c>
    </row>
    <row r="61" spans="2:46" hidden="1">
      <c r="C61" s="11"/>
      <c r="D61" s="11"/>
      <c r="E61" s="11"/>
      <c r="F61" s="1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>
        <f t="shared" ref="S61:S68" si="51">SUM(G61:R61)</f>
        <v>0</v>
      </c>
      <c r="T61" s="39" t="str">
        <f>IFERROR(VLOOKUP(F61,Anexo!$C$14:$D$20,2,FALSE),"")</f>
        <v/>
      </c>
      <c r="U61" s="18" t="str">
        <f t="shared" ref="U61:U68" si="52">IFERROR(S61*T61,"")</f>
        <v/>
      </c>
      <c r="V61" s="18" t="str">
        <f>IFERROR(VLOOKUP(E61,FE!$B$66:$G$87,4,FALSE),"")</f>
        <v/>
      </c>
      <c r="W61" s="18" t="str">
        <f>IFERROR(VLOOKUP(E61,FE!$B$66:$I$87,7,FALSE),"")</f>
        <v/>
      </c>
      <c r="X61" s="41" t="str">
        <f>IFERROR(VLOOKUP(E61,FE!$B$66:$I$87,8,FALSE),"")</f>
        <v/>
      </c>
      <c r="Y61" s="18" t="str">
        <f>IFERROR(VLOOKUP(E61,FE!$B$66:$G$87,2,FALSE),"")</f>
        <v/>
      </c>
      <c r="Z61" s="18" t="str">
        <f t="shared" ref="Z61:Z68" si="53">IFERROR(IF(Y61="No",0,U61*V61/1000),"")</f>
        <v/>
      </c>
      <c r="AA61" s="18">
        <f t="shared" ref="AA61:AA68" si="54">IFERROR(IF(Y61="No",U61*V61/1000,0),"")</f>
        <v>0</v>
      </c>
      <c r="AB61" s="18" t="str">
        <f t="shared" ref="AB61:AB68" si="55">IFERROR(U61*W61/1000,"")</f>
        <v/>
      </c>
      <c r="AC61" s="18" t="str">
        <f t="shared" ref="AC61:AC68" si="56">IFERROR(U61*X61/1000,"")</f>
        <v/>
      </c>
      <c r="AD61" s="18" t="str">
        <f>IFERROR(AA61+(IF(Y61="No",AB61*PCG!$D$9,AB61*PCG!$D$10))+ED_Combustibles!AC61*PCG!$D$11,"")</f>
        <v/>
      </c>
      <c r="AE61" s="18">
        <f t="shared" ref="AE61:AE68" si="57">COUNTIF(G61:R61,"&gt;0")</f>
        <v>0</v>
      </c>
      <c r="AF61" s="18">
        <f t="shared" ref="AF61:AF68" si="58">IF(AE61&gt;1,AVERAGE(G61:R61),0)</f>
        <v>0</v>
      </c>
      <c r="AG61" s="18">
        <f t="shared" ref="AG61:AG68" si="59">IF(AE61&gt;1,STDEV(G61:R61),0)</f>
        <v>0</v>
      </c>
      <c r="AH61" s="18">
        <f>IF(AE61&gt;1,VLOOKUP(AE61,Anexo!$G$7:$H$19,2,FALSE),0)</f>
        <v>0</v>
      </c>
      <c r="AI61" s="30">
        <f t="shared" ref="AI61:AI68" si="60">IF(AE61&gt;1,1-((AF61-((AG61*AH61)/(SQRT(AE61))))/AF61),AJ61)</f>
        <v>0</v>
      </c>
      <c r="AJ61" s="30">
        <f>IF(AE61&gt;0,VLOOKUP(E61,FE!$B$66:$G$87,3,FALSE),0)</f>
        <v>0</v>
      </c>
      <c r="AK61" s="30">
        <f t="shared" ref="AK61:AK68" si="61">SQRT((AI61*AI61)+(AJ61*AJ61))</f>
        <v>0</v>
      </c>
      <c r="AL61" s="18">
        <f t="shared" ref="AL61:AL68" si="62">IFERROR((AD61*AK61)^2,0)</f>
        <v>0</v>
      </c>
    </row>
    <row r="62" spans="2:46" hidden="1">
      <c r="C62" s="11"/>
      <c r="D62" s="11"/>
      <c r="E62" s="11"/>
      <c r="F62" s="1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>
        <f t="shared" si="51"/>
        <v>0</v>
      </c>
      <c r="T62" s="39" t="str">
        <f>IFERROR(VLOOKUP(F62,Anexo!$C$14:$D$20,2,FALSE),"")</f>
        <v/>
      </c>
      <c r="U62" s="18" t="str">
        <f t="shared" si="52"/>
        <v/>
      </c>
      <c r="V62" s="18" t="str">
        <f>IFERROR(VLOOKUP(E62,FE!$B$66:$G$87,4,FALSE),"")</f>
        <v/>
      </c>
      <c r="W62" s="18" t="str">
        <f>IFERROR(VLOOKUP(E62,FE!$B$66:$I$87,7,FALSE),"")</f>
        <v/>
      </c>
      <c r="X62" s="41" t="str">
        <f>IFERROR(VLOOKUP(E62,FE!$B$66:$I$87,8,FALSE),"")</f>
        <v/>
      </c>
      <c r="Y62" s="18" t="str">
        <f>IFERROR(VLOOKUP(E62,FE!$B$66:$G$87,2,FALSE),"")</f>
        <v/>
      </c>
      <c r="Z62" s="18" t="str">
        <f t="shared" si="53"/>
        <v/>
      </c>
      <c r="AA62" s="18">
        <f t="shared" si="54"/>
        <v>0</v>
      </c>
      <c r="AB62" s="18" t="str">
        <f t="shared" si="55"/>
        <v/>
      </c>
      <c r="AC62" s="18" t="str">
        <f t="shared" si="56"/>
        <v/>
      </c>
      <c r="AD62" s="18" t="str">
        <f>IFERROR(AA62+(IF(Y62="No",AB62*PCG!$D$9,AB62*PCG!$D$10))+ED_Combustibles!AC62*PCG!$D$11,"")</f>
        <v/>
      </c>
      <c r="AE62" s="18">
        <f t="shared" si="57"/>
        <v>0</v>
      </c>
      <c r="AF62" s="18">
        <f t="shared" si="58"/>
        <v>0</v>
      </c>
      <c r="AG62" s="18">
        <f t="shared" si="59"/>
        <v>0</v>
      </c>
      <c r="AH62" s="18">
        <f>IF(AE62&gt;1,VLOOKUP(AE62,Anexo!$G$7:$H$19,2,FALSE),0)</f>
        <v>0</v>
      </c>
      <c r="AI62" s="30">
        <f t="shared" si="60"/>
        <v>0</v>
      </c>
      <c r="AJ62" s="30">
        <f>IF(AE62&gt;0,VLOOKUP(E62,FE!$B$66:$G$87,3,FALSE),0)</f>
        <v>0</v>
      </c>
      <c r="AK62" s="30">
        <f t="shared" si="61"/>
        <v>0</v>
      </c>
      <c r="AL62" s="18">
        <f t="shared" si="62"/>
        <v>0</v>
      </c>
    </row>
    <row r="63" spans="2:46" hidden="1">
      <c r="C63" s="11"/>
      <c r="D63" s="11"/>
      <c r="E63" s="11"/>
      <c r="F63" s="1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>
        <f t="shared" si="51"/>
        <v>0</v>
      </c>
      <c r="T63" s="39" t="str">
        <f>IFERROR(VLOOKUP(F63,Anexo!$C$14:$D$20,2,FALSE),"")</f>
        <v/>
      </c>
      <c r="U63" s="18" t="str">
        <f t="shared" si="52"/>
        <v/>
      </c>
      <c r="V63" s="18" t="str">
        <f>IFERROR(VLOOKUP(E63,FE!$B$66:$G$87,4,FALSE),"")</f>
        <v/>
      </c>
      <c r="W63" s="18" t="str">
        <f>IFERROR(VLOOKUP(E63,FE!$B$66:$I$87,7,FALSE),"")</f>
        <v/>
      </c>
      <c r="X63" s="41" t="str">
        <f>IFERROR(VLOOKUP(E63,FE!$B$66:$I$87,8,FALSE),"")</f>
        <v/>
      </c>
      <c r="Y63" s="18" t="str">
        <f>IFERROR(VLOOKUP(E63,FE!$B$66:$G$87,2,FALSE),"")</f>
        <v/>
      </c>
      <c r="Z63" s="18" t="str">
        <f t="shared" si="53"/>
        <v/>
      </c>
      <c r="AA63" s="18">
        <f t="shared" si="54"/>
        <v>0</v>
      </c>
      <c r="AB63" s="18" t="str">
        <f t="shared" si="55"/>
        <v/>
      </c>
      <c r="AC63" s="18" t="str">
        <f t="shared" si="56"/>
        <v/>
      </c>
      <c r="AD63" s="18" t="str">
        <f>IFERROR(AA63+(IF(Y63="No",AB63*PCG!$D$9,AB63*PCG!$D$10))+ED_Combustibles!AC63*PCG!$D$11,"")</f>
        <v/>
      </c>
      <c r="AE63" s="18">
        <f t="shared" si="57"/>
        <v>0</v>
      </c>
      <c r="AF63" s="18">
        <f t="shared" si="58"/>
        <v>0</v>
      </c>
      <c r="AG63" s="18">
        <f t="shared" si="59"/>
        <v>0</v>
      </c>
      <c r="AH63" s="18">
        <f>IF(AE63&gt;1,VLOOKUP(AE63,Anexo!$G$7:$H$19,2,FALSE),0)</f>
        <v>0</v>
      </c>
      <c r="AI63" s="30">
        <f t="shared" si="60"/>
        <v>0</v>
      </c>
      <c r="AJ63" s="30">
        <f>IF(AE63&gt;0,VLOOKUP(E63,FE!$B$66:$G$87,3,FALSE),0)</f>
        <v>0</v>
      </c>
      <c r="AK63" s="30">
        <f t="shared" si="61"/>
        <v>0</v>
      </c>
      <c r="AL63" s="18">
        <f t="shared" si="62"/>
        <v>0</v>
      </c>
    </row>
    <row r="64" spans="2:46" hidden="1">
      <c r="C64" s="11"/>
      <c r="D64" s="11"/>
      <c r="E64" s="11"/>
      <c r="F64" s="1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>
        <f t="shared" si="51"/>
        <v>0</v>
      </c>
      <c r="T64" s="39" t="str">
        <f>IFERROR(VLOOKUP(F64,Anexo!$C$14:$D$20,2,FALSE),"")</f>
        <v/>
      </c>
      <c r="U64" s="18" t="str">
        <f t="shared" si="52"/>
        <v/>
      </c>
      <c r="V64" s="18" t="str">
        <f>IFERROR(VLOOKUP(E64,FE!$B$66:$G$87,4,FALSE),"")</f>
        <v/>
      </c>
      <c r="W64" s="18" t="str">
        <f>IFERROR(VLOOKUP(E64,FE!$B$66:$I$87,7,FALSE),"")</f>
        <v/>
      </c>
      <c r="X64" s="41" t="str">
        <f>IFERROR(VLOOKUP(E64,FE!$B$66:$I$87,8,FALSE),"")</f>
        <v/>
      </c>
      <c r="Y64" s="18" t="str">
        <f>IFERROR(VLOOKUP(E64,FE!$B$66:$G$87,2,FALSE),"")</f>
        <v/>
      </c>
      <c r="Z64" s="18" t="str">
        <f t="shared" si="53"/>
        <v/>
      </c>
      <c r="AA64" s="18">
        <f t="shared" si="54"/>
        <v>0</v>
      </c>
      <c r="AB64" s="18" t="str">
        <f t="shared" si="55"/>
        <v/>
      </c>
      <c r="AC64" s="18" t="str">
        <f t="shared" si="56"/>
        <v/>
      </c>
      <c r="AD64" s="18" t="str">
        <f>IFERROR(AA64+(IF(Y64="No",AB64*PCG!$D$9,AB64*PCG!$D$10))+ED_Combustibles!AC64*PCG!$D$11,"")</f>
        <v/>
      </c>
      <c r="AE64" s="18">
        <f t="shared" si="57"/>
        <v>0</v>
      </c>
      <c r="AF64" s="18">
        <f t="shared" si="58"/>
        <v>0</v>
      </c>
      <c r="AG64" s="18">
        <f t="shared" si="59"/>
        <v>0</v>
      </c>
      <c r="AH64" s="18">
        <f>IF(AE64&gt;1,VLOOKUP(AE64,Anexo!$G$7:$H$19,2,FALSE),0)</f>
        <v>0</v>
      </c>
      <c r="AI64" s="30">
        <f t="shared" si="60"/>
        <v>0</v>
      </c>
      <c r="AJ64" s="30">
        <f>IF(AE64&gt;0,VLOOKUP(E64,FE!$B$66:$G$87,3,FALSE),0)</f>
        <v>0</v>
      </c>
      <c r="AK64" s="30">
        <f t="shared" si="61"/>
        <v>0</v>
      </c>
      <c r="AL64" s="18">
        <f t="shared" si="62"/>
        <v>0</v>
      </c>
    </row>
    <row r="65" spans="2:46" hidden="1">
      <c r="C65" s="11"/>
      <c r="D65" s="11"/>
      <c r="E65" s="11"/>
      <c r="F65" s="1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>
        <f t="shared" si="51"/>
        <v>0</v>
      </c>
      <c r="T65" s="39" t="str">
        <f>IFERROR(VLOOKUP(F65,Anexo!$C$14:$D$20,2,FALSE),"")</f>
        <v/>
      </c>
      <c r="U65" s="18" t="str">
        <f t="shared" si="52"/>
        <v/>
      </c>
      <c r="V65" s="18" t="str">
        <f>IFERROR(VLOOKUP(E65,FE!$B$66:$G$87,4,FALSE),"")</f>
        <v/>
      </c>
      <c r="W65" s="18" t="str">
        <f>IFERROR(VLOOKUP(E65,FE!$B$66:$I$87,7,FALSE),"")</f>
        <v/>
      </c>
      <c r="X65" s="41" t="str">
        <f>IFERROR(VLOOKUP(E65,FE!$B$66:$I$87,8,FALSE),"")</f>
        <v/>
      </c>
      <c r="Y65" s="18" t="str">
        <f>IFERROR(VLOOKUP(E65,FE!$B$66:$G$87,2,FALSE),"")</f>
        <v/>
      </c>
      <c r="Z65" s="18" t="str">
        <f t="shared" si="53"/>
        <v/>
      </c>
      <c r="AA65" s="18">
        <f t="shared" si="54"/>
        <v>0</v>
      </c>
      <c r="AB65" s="18" t="str">
        <f t="shared" si="55"/>
        <v/>
      </c>
      <c r="AC65" s="18" t="str">
        <f t="shared" si="56"/>
        <v/>
      </c>
      <c r="AD65" s="18" t="str">
        <f>IFERROR(AA65+(IF(Y65="No",AB65*PCG!$D$9,AB65*PCG!$D$10))+ED_Combustibles!AC65*PCG!$D$11,"")</f>
        <v/>
      </c>
      <c r="AE65" s="18">
        <f t="shared" si="57"/>
        <v>0</v>
      </c>
      <c r="AF65" s="18">
        <f t="shared" si="58"/>
        <v>0</v>
      </c>
      <c r="AG65" s="18">
        <f t="shared" si="59"/>
        <v>0</v>
      </c>
      <c r="AH65" s="18">
        <f>IF(AE65&gt;1,VLOOKUP(AE65,Anexo!$G$7:$H$19,2,FALSE),0)</f>
        <v>0</v>
      </c>
      <c r="AI65" s="30">
        <f t="shared" si="60"/>
        <v>0</v>
      </c>
      <c r="AJ65" s="30">
        <f>IF(AE65&gt;0,VLOOKUP(E65,FE!$B$66:$G$87,3,FALSE),0)</f>
        <v>0</v>
      </c>
      <c r="AK65" s="30">
        <f t="shared" si="61"/>
        <v>0</v>
      </c>
      <c r="AL65" s="18">
        <f t="shared" si="62"/>
        <v>0</v>
      </c>
    </row>
    <row r="66" spans="2:46" hidden="1">
      <c r="C66" s="11"/>
      <c r="D66" s="11"/>
      <c r="E66" s="11"/>
      <c r="F66" s="1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>
        <f t="shared" si="51"/>
        <v>0</v>
      </c>
      <c r="T66" s="39" t="str">
        <f>IFERROR(VLOOKUP(F66,Anexo!$C$14:$D$20,2,FALSE),"")</f>
        <v/>
      </c>
      <c r="U66" s="18" t="str">
        <f t="shared" si="52"/>
        <v/>
      </c>
      <c r="V66" s="18" t="str">
        <f>IFERROR(VLOOKUP(E66,FE!$B$66:$G$87,4,FALSE),"")</f>
        <v/>
      </c>
      <c r="W66" s="18" t="str">
        <f>IFERROR(VLOOKUP(E66,FE!$B$66:$I$87,7,FALSE),"")</f>
        <v/>
      </c>
      <c r="X66" s="41" t="str">
        <f>IFERROR(VLOOKUP(E66,FE!$B$66:$I$87,8,FALSE),"")</f>
        <v/>
      </c>
      <c r="Y66" s="18" t="str">
        <f>IFERROR(VLOOKUP(E66,FE!$B$66:$G$87,2,FALSE),"")</f>
        <v/>
      </c>
      <c r="Z66" s="18" t="str">
        <f t="shared" si="53"/>
        <v/>
      </c>
      <c r="AA66" s="18">
        <f t="shared" si="54"/>
        <v>0</v>
      </c>
      <c r="AB66" s="18" t="str">
        <f t="shared" si="55"/>
        <v/>
      </c>
      <c r="AC66" s="18" t="str">
        <f t="shared" si="56"/>
        <v/>
      </c>
      <c r="AD66" s="18" t="str">
        <f>IFERROR(AA66+(IF(Y66="No",AB66*PCG!$D$9,AB66*PCG!$D$10))+ED_Combustibles!AC66*PCG!$D$11,"")</f>
        <v/>
      </c>
      <c r="AE66" s="18">
        <f t="shared" si="57"/>
        <v>0</v>
      </c>
      <c r="AF66" s="18">
        <f t="shared" si="58"/>
        <v>0</v>
      </c>
      <c r="AG66" s="18">
        <f t="shared" si="59"/>
        <v>0</v>
      </c>
      <c r="AH66" s="18">
        <f>IF(AE66&gt;1,VLOOKUP(AE66,Anexo!$G$7:$H$19,2,FALSE),0)</f>
        <v>0</v>
      </c>
      <c r="AI66" s="30">
        <f t="shared" si="60"/>
        <v>0</v>
      </c>
      <c r="AJ66" s="30">
        <f>IF(AE66&gt;0,VLOOKUP(E66,FE!$B$66:$G$87,3,FALSE),0)</f>
        <v>0</v>
      </c>
      <c r="AK66" s="30">
        <f t="shared" si="61"/>
        <v>0</v>
      </c>
      <c r="AL66" s="18">
        <f t="shared" si="62"/>
        <v>0</v>
      </c>
    </row>
    <row r="67" spans="2:46" hidden="1">
      <c r="C67" s="11"/>
      <c r="D67" s="11"/>
      <c r="E67" s="11"/>
      <c r="F67" s="1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>
        <f t="shared" si="51"/>
        <v>0</v>
      </c>
      <c r="T67" s="39" t="str">
        <f>IFERROR(VLOOKUP(F67,Anexo!$C$14:$D$20,2,FALSE),"")</f>
        <v/>
      </c>
      <c r="U67" s="18" t="str">
        <f t="shared" si="52"/>
        <v/>
      </c>
      <c r="V67" s="18" t="str">
        <f>IFERROR(VLOOKUP(E67,FE!$B$66:$G$87,4,FALSE),"")</f>
        <v/>
      </c>
      <c r="W67" s="18" t="str">
        <f>IFERROR(VLOOKUP(E67,FE!$B$66:$I$87,7,FALSE),"")</f>
        <v/>
      </c>
      <c r="X67" s="41" t="str">
        <f>IFERROR(VLOOKUP(E67,FE!$B$66:$I$87,8,FALSE),"")</f>
        <v/>
      </c>
      <c r="Y67" s="18" t="str">
        <f>IFERROR(VLOOKUP(E67,FE!$B$66:$G$87,2,FALSE),"")</f>
        <v/>
      </c>
      <c r="Z67" s="18" t="str">
        <f t="shared" si="53"/>
        <v/>
      </c>
      <c r="AA67" s="18">
        <f t="shared" si="54"/>
        <v>0</v>
      </c>
      <c r="AB67" s="18" t="str">
        <f t="shared" si="55"/>
        <v/>
      </c>
      <c r="AC67" s="18" t="str">
        <f t="shared" si="56"/>
        <v/>
      </c>
      <c r="AD67" s="18" t="str">
        <f>IFERROR(AA67+(IF(Y67="No",AB67*PCG!$D$9,AB67*PCG!$D$10))+ED_Combustibles!AC67*PCG!$D$11,"")</f>
        <v/>
      </c>
      <c r="AE67" s="18">
        <f t="shared" si="57"/>
        <v>0</v>
      </c>
      <c r="AF67" s="18">
        <f t="shared" si="58"/>
        <v>0</v>
      </c>
      <c r="AG67" s="18">
        <f t="shared" si="59"/>
        <v>0</v>
      </c>
      <c r="AH67" s="18">
        <f>IF(AE67&gt;1,VLOOKUP(AE67,Anexo!$G$7:$H$19,2,FALSE),0)</f>
        <v>0</v>
      </c>
      <c r="AI67" s="30">
        <f t="shared" si="60"/>
        <v>0</v>
      </c>
      <c r="AJ67" s="30">
        <f>IF(AE67&gt;0,VLOOKUP(E67,FE!$B$66:$G$87,3,FALSE),0)</f>
        <v>0</v>
      </c>
      <c r="AK67" s="30">
        <f t="shared" si="61"/>
        <v>0</v>
      </c>
      <c r="AL67" s="18">
        <f t="shared" si="62"/>
        <v>0</v>
      </c>
    </row>
    <row r="68" spans="2:46" hidden="1">
      <c r="C68" s="11"/>
      <c r="D68" s="11"/>
      <c r="E68" s="11"/>
      <c r="F68" s="1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>
        <f t="shared" si="51"/>
        <v>0</v>
      </c>
      <c r="T68" s="39" t="str">
        <f>IFERROR(VLOOKUP(F68,Anexo!$C$14:$D$20,2,FALSE),"")</f>
        <v/>
      </c>
      <c r="U68" s="18" t="str">
        <f t="shared" si="52"/>
        <v/>
      </c>
      <c r="V68" s="18" t="str">
        <f>IFERROR(VLOOKUP(E68,FE!$B$66:$G$87,4,FALSE),"")</f>
        <v/>
      </c>
      <c r="W68" s="18" t="str">
        <f>IFERROR(VLOOKUP(E68,FE!$B$66:$I$87,7,FALSE),"")</f>
        <v/>
      </c>
      <c r="X68" s="41" t="str">
        <f>IFERROR(VLOOKUP(E68,FE!$B$66:$I$87,8,FALSE),"")</f>
        <v/>
      </c>
      <c r="Y68" s="18" t="str">
        <f>IFERROR(VLOOKUP(E68,FE!$B$66:$G$87,2,FALSE),"")</f>
        <v/>
      </c>
      <c r="Z68" s="18" t="str">
        <f t="shared" si="53"/>
        <v/>
      </c>
      <c r="AA68" s="18">
        <f t="shared" si="54"/>
        <v>0</v>
      </c>
      <c r="AB68" s="18" t="str">
        <f t="shared" si="55"/>
        <v/>
      </c>
      <c r="AC68" s="18" t="str">
        <f t="shared" si="56"/>
        <v/>
      </c>
      <c r="AD68" s="18" t="str">
        <f>IFERROR(AA68+(IF(Y68="No",AB68*PCG!$D$9,AB68*PCG!$D$10))+ED_Combustibles!AC68*PCG!$D$11,"")</f>
        <v/>
      </c>
      <c r="AE68" s="18">
        <f t="shared" si="57"/>
        <v>0</v>
      </c>
      <c r="AF68" s="18">
        <f t="shared" si="58"/>
        <v>0</v>
      </c>
      <c r="AG68" s="18">
        <f t="shared" si="59"/>
        <v>0</v>
      </c>
      <c r="AH68" s="18">
        <f>IF(AE68&gt;1,VLOOKUP(AE68,Anexo!$G$7:$H$19,2,FALSE),0)</f>
        <v>0</v>
      </c>
      <c r="AI68" s="30">
        <f t="shared" si="60"/>
        <v>0</v>
      </c>
      <c r="AJ68" s="30">
        <f>IF(AE68&gt;0,VLOOKUP(E68,FE!$B$66:$G$87,3,FALSE),0)</f>
        <v>0</v>
      </c>
      <c r="AK68" s="30">
        <f t="shared" si="61"/>
        <v>0</v>
      </c>
      <c r="AL68" s="18">
        <f t="shared" si="62"/>
        <v>0</v>
      </c>
    </row>
    <row r="69" spans="2:46" hidden="1"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9">
        <f>SUM(S60:S68)</f>
        <v>0</v>
      </c>
      <c r="T69" s="19"/>
      <c r="U69" s="29">
        <f>SUM(U60:U68)</f>
        <v>0</v>
      </c>
      <c r="V69" s="19"/>
      <c r="W69" s="19"/>
      <c r="X69" s="19"/>
      <c r="Z69" s="29">
        <f>SUM(Z60:Z68)</f>
        <v>0</v>
      </c>
      <c r="AA69" s="29">
        <f>SUM(AA60:AA68)</f>
        <v>0</v>
      </c>
      <c r="AB69" s="29">
        <f>SUM(AB60:AB68)</f>
        <v>0</v>
      </c>
      <c r="AC69" s="29">
        <f>SUM(AC60:AC68)</f>
        <v>0</v>
      </c>
      <c r="AD69" s="29">
        <f>SUM(AD60:AD68)</f>
        <v>0</v>
      </c>
      <c r="AK69" s="31">
        <f>IF(AD69&gt;0,SQRT(SUM(AL60:AL68))/AD69,0)</f>
        <v>0</v>
      </c>
      <c r="AL69" s="29">
        <f>(AD69*AK69)^2</f>
        <v>0</v>
      </c>
    </row>
    <row r="70" spans="2:46" hidden="1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2:46" hidden="1">
      <c r="B71" s="2" t="s">
        <v>42</v>
      </c>
      <c r="C71" s="197" t="s">
        <v>50</v>
      </c>
      <c r="D71" s="197"/>
      <c r="E71" s="197"/>
      <c r="F71" s="197"/>
    </row>
    <row r="72" spans="2:46" hidden="1">
      <c r="C72" s="196" t="s">
        <v>51</v>
      </c>
      <c r="D72" s="196"/>
      <c r="E72" s="196"/>
      <c r="F72" s="196"/>
      <c r="Z72" s="195" t="s">
        <v>52</v>
      </c>
      <c r="AA72" s="195"/>
      <c r="AB72" s="195"/>
      <c r="AC72" s="199" t="s">
        <v>53</v>
      </c>
      <c r="AD72" s="200"/>
      <c r="AE72" s="201"/>
      <c r="AF72" s="195" t="s">
        <v>52</v>
      </c>
      <c r="AG72" s="195"/>
      <c r="AH72" s="195"/>
      <c r="AI72" s="199" t="s">
        <v>53</v>
      </c>
      <c r="AJ72" s="200"/>
      <c r="AK72" s="201"/>
    </row>
    <row r="73" spans="2:46" ht="51" hidden="1">
      <c r="C73" s="6" t="s">
        <v>6</v>
      </c>
      <c r="D73" s="7" t="s">
        <v>7</v>
      </c>
      <c r="E73" s="7" t="s">
        <v>54</v>
      </c>
      <c r="F73" s="7" t="s">
        <v>55</v>
      </c>
      <c r="G73" s="7" t="s">
        <v>56</v>
      </c>
      <c r="H73" s="7" t="s">
        <v>9</v>
      </c>
      <c r="I73" s="5" t="s">
        <v>10</v>
      </c>
      <c r="J73" s="5" t="s">
        <v>11</v>
      </c>
      <c r="K73" s="5" t="s">
        <v>12</v>
      </c>
      <c r="L73" s="5" t="s">
        <v>13</v>
      </c>
      <c r="M73" s="5" t="s">
        <v>14</v>
      </c>
      <c r="N73" s="5" t="s">
        <v>15</v>
      </c>
      <c r="O73" s="5" t="s">
        <v>16</v>
      </c>
      <c r="P73" s="5" t="s">
        <v>17</v>
      </c>
      <c r="Q73" s="5" t="s">
        <v>18</v>
      </c>
      <c r="R73" s="5" t="s">
        <v>19</v>
      </c>
      <c r="S73" s="5" t="s">
        <v>20</v>
      </c>
      <c r="T73" s="5" t="s">
        <v>21</v>
      </c>
      <c r="U73" s="5" t="s">
        <v>22</v>
      </c>
      <c r="V73" s="5" t="s">
        <v>23</v>
      </c>
      <c r="W73" s="5" t="s">
        <v>57</v>
      </c>
      <c r="X73" s="5" t="s">
        <v>58</v>
      </c>
      <c r="Y73" s="5" t="s">
        <v>59</v>
      </c>
      <c r="Z73" s="7" t="s">
        <v>60</v>
      </c>
      <c r="AA73" s="7" t="s">
        <v>61</v>
      </c>
      <c r="AB73" s="7" t="s">
        <v>62</v>
      </c>
      <c r="AC73" s="7" t="s">
        <v>60</v>
      </c>
      <c r="AD73" s="7" t="s">
        <v>61</v>
      </c>
      <c r="AE73" s="7" t="s">
        <v>62</v>
      </c>
      <c r="AF73" s="7" t="s">
        <v>63</v>
      </c>
      <c r="AG73" s="7" t="s">
        <v>31</v>
      </c>
      <c r="AH73" s="7" t="s">
        <v>32</v>
      </c>
      <c r="AI73" s="7" t="s">
        <v>63</v>
      </c>
      <c r="AJ73" s="7" t="s">
        <v>31</v>
      </c>
      <c r="AK73" s="7" t="s">
        <v>32</v>
      </c>
      <c r="AL73" s="5" t="s">
        <v>33</v>
      </c>
      <c r="AM73" s="5" t="s">
        <v>34</v>
      </c>
      <c r="AN73" s="5" t="s">
        <v>35</v>
      </c>
      <c r="AO73" s="5" t="s">
        <v>36</v>
      </c>
      <c r="AP73" s="5" t="s">
        <v>37</v>
      </c>
      <c r="AQ73" s="5" t="s">
        <v>38</v>
      </c>
      <c r="AR73" s="5" t="s">
        <v>39</v>
      </c>
      <c r="AS73" s="5" t="s">
        <v>40</v>
      </c>
      <c r="AT73" s="5" t="s">
        <v>41</v>
      </c>
    </row>
    <row r="74" spans="2:46" hidden="1">
      <c r="C74" s="11"/>
      <c r="D74" s="11"/>
      <c r="E74" s="11"/>
      <c r="F74" s="11"/>
      <c r="G74" s="33"/>
      <c r="H74" s="11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>
        <f>SUM(I74:T74)</f>
        <v>0</v>
      </c>
      <c r="V74" s="18" t="str">
        <f>IFERROR(VLOOKUP(H74,Anexo!$C$24:$D$29,2,FALSE),"")</f>
        <v/>
      </c>
      <c r="W74" s="18" t="str">
        <f>IFERROR(V74*U74,"")</f>
        <v/>
      </c>
      <c r="X74" s="18" t="str">
        <f>IFERROR(W74*G74,"")</f>
        <v/>
      </c>
      <c r="Y74" s="18" t="str">
        <f>IFERROR((1-G74)*W74,"")</f>
        <v/>
      </c>
      <c r="Z74" s="18" t="str">
        <f>IFERROR(VLOOKUP(E74,FE!$I$10:$N$21,4,FALSE),"")</f>
        <v/>
      </c>
      <c r="AA74" s="18" t="str">
        <f>IFERROR(VLOOKUP(E74,FE!$I$10:$P$21,7,FALSE),"")</f>
        <v/>
      </c>
      <c r="AB74" s="41" t="str">
        <f>IFERROR(VLOOKUP(E74,FE!$I$10:$P$21,8,FALSE),"")</f>
        <v/>
      </c>
      <c r="AC74" s="18" t="str">
        <f>IFERROR(VLOOKUP(F74,FE!$I$10:$N$21,4,FALSE),"")</f>
        <v/>
      </c>
      <c r="AD74" s="18" t="str">
        <f>IFERROR(VLOOKUP(F74,FE!$I$10:$P$21,7,FALSE),"")</f>
        <v/>
      </c>
      <c r="AE74" s="41" t="str">
        <f>IFERROR(VLOOKUP(F74,FE!$I$10:$P$21,8,FALSE),"")</f>
        <v/>
      </c>
      <c r="AF74" s="18" t="str">
        <f>IFERROR(X74*Z74/1000,"")</f>
        <v/>
      </c>
      <c r="AG74" s="18" t="str">
        <f>IFERROR(X74*AA74/1000,"")</f>
        <v/>
      </c>
      <c r="AH74" s="18" t="str">
        <f>IFERROR(X74*AB74/1000,"")</f>
        <v/>
      </c>
      <c r="AI74" s="18" t="str">
        <f>IFERROR(Y74*AC74/1000,"")</f>
        <v/>
      </c>
      <c r="AJ74" s="18" t="str">
        <f>IFERROR(Y74*AD74/1000,"")</f>
        <v/>
      </c>
      <c r="AK74" s="18" t="str">
        <f>IFERROR(Y74*AE74/1000,"")</f>
        <v/>
      </c>
      <c r="AL74" s="18" t="str">
        <f>IFERROR(AF74+(AG74*PCG!$D$9)+(AH74*PCG!$D$11)+(AJ74*PCG!$D$10)+(AK74*PCG!$D$11),"")</f>
        <v/>
      </c>
      <c r="AM74" s="18">
        <f>COUNTIF(I74:T74,"&gt;0")</f>
        <v>0</v>
      </c>
      <c r="AN74" s="18">
        <f>IF(AM74&gt;1,AVERAGE(I74:T74),0)</f>
        <v>0</v>
      </c>
      <c r="AO74" s="18">
        <f>IF(AM74&gt;1,STDEV(I74:T74),0)</f>
        <v>0</v>
      </c>
      <c r="AP74" s="18">
        <f>IF(AM74&gt;1,VLOOKUP(AM74,Anexo!$G$7:$H$19,2,FALSE),0)</f>
        <v>0</v>
      </c>
      <c r="AQ74" s="30">
        <f>IF(AM74&gt;1,1-((AN74-((AO74*AP74)/(SQRT(AM74))))/AN74),AR74)</f>
        <v>0</v>
      </c>
      <c r="AR74" s="30">
        <f>IF(AM74&gt;0,VLOOKUP(E74,FE!$I$10:$K$21,3,FALSE),0)</f>
        <v>0</v>
      </c>
      <c r="AS74" s="30">
        <f>SQRT((AQ74*AQ74)+(AR74*AR74))</f>
        <v>0</v>
      </c>
      <c r="AT74" s="18">
        <f>IFERROR((AL74*AS74)^2,0)</f>
        <v>0</v>
      </c>
    </row>
    <row r="75" spans="2:46" hidden="1">
      <c r="C75" s="11"/>
      <c r="D75" s="11"/>
      <c r="E75" s="11"/>
      <c r="F75" s="11"/>
      <c r="G75" s="33"/>
      <c r="H75" s="11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>
        <f t="shared" ref="U75:U85" si="63">SUM(I75:T75)</f>
        <v>0</v>
      </c>
      <c r="V75" s="18" t="str">
        <f>IFERROR(VLOOKUP(H75,Anexo!$C$24:$D$29,2,FALSE),"")</f>
        <v/>
      </c>
      <c r="W75" s="18" t="str">
        <f t="shared" ref="W75:W85" si="64">IFERROR(V75*U75,"")</f>
        <v/>
      </c>
      <c r="X75" s="18" t="str">
        <f t="shared" ref="X75:X85" si="65">IFERROR(W75*G75,"")</f>
        <v/>
      </c>
      <c r="Y75" s="18" t="str">
        <f t="shared" ref="Y75:Y85" si="66">IFERROR((1-G75)*W75,"")</f>
        <v/>
      </c>
      <c r="Z75" s="18" t="str">
        <f>IFERROR(VLOOKUP(E75,FE!$I$10:$N$21,4,FALSE),"")</f>
        <v/>
      </c>
      <c r="AA75" s="18" t="str">
        <f>IFERROR(VLOOKUP(E75,FE!$I$10:$P$21,7,FALSE),"")</f>
        <v/>
      </c>
      <c r="AB75" s="41" t="str">
        <f>IFERROR(VLOOKUP(E75,FE!$I$10:$P$21,8,FALSE),"")</f>
        <v/>
      </c>
      <c r="AC75" s="18" t="str">
        <f>IFERROR(VLOOKUP(F75,FE!$I$10:$N$21,4,FALSE),"")</f>
        <v/>
      </c>
      <c r="AD75" s="18" t="str">
        <f>IFERROR(VLOOKUP(F75,FE!$I$10:$P$21,7,FALSE),"")</f>
        <v/>
      </c>
      <c r="AE75" s="41" t="str">
        <f>IFERROR(VLOOKUP(F75,FE!$I$10:$P$21,8,FALSE),"")</f>
        <v/>
      </c>
      <c r="AF75" s="18" t="str">
        <f t="shared" ref="AF75:AF85" si="67">IFERROR(X75*Z75/1000,"")</f>
        <v/>
      </c>
      <c r="AG75" s="18" t="str">
        <f t="shared" ref="AG75:AG85" si="68">IFERROR(X75*AA75/1000,"")</f>
        <v/>
      </c>
      <c r="AH75" s="18" t="str">
        <f t="shared" ref="AH75:AH85" si="69">IFERROR(X75*AB75/1000,"")</f>
        <v/>
      </c>
      <c r="AI75" s="18" t="str">
        <f t="shared" ref="AI75:AI85" si="70">IFERROR(Y75*AC75/1000,"")</f>
        <v/>
      </c>
      <c r="AJ75" s="18" t="str">
        <f t="shared" ref="AJ75:AJ85" si="71">IFERROR(Y75*AD75/1000,"")</f>
        <v/>
      </c>
      <c r="AK75" s="18" t="str">
        <f t="shared" ref="AK75:AK85" si="72">IFERROR(Y75*AE75/1000,"")</f>
        <v/>
      </c>
      <c r="AL75" s="18" t="str">
        <f>IFERROR(AF75+(AG75*PCG!$D$9)+(AH75*PCG!$D$11)+(AJ75*PCG!$D$10)+(AK75*PCG!$D$11),"")</f>
        <v/>
      </c>
      <c r="AM75" s="18">
        <f t="shared" ref="AM75:AM85" si="73">COUNTIF(I75:T75,"&gt;0")</f>
        <v>0</v>
      </c>
      <c r="AN75" s="18">
        <f t="shared" ref="AN75:AN85" si="74">IF(AM75&gt;1,AVERAGE(I75:T75),0)</f>
        <v>0</v>
      </c>
      <c r="AO75" s="18">
        <f t="shared" ref="AO75:AO85" si="75">IF(AM75&gt;1,STDEV(I75:T75),0)</f>
        <v>0</v>
      </c>
      <c r="AP75" s="18">
        <f>IF(AM75&gt;1,VLOOKUP(AM75,Anexo!$G$7:$H$19,2,FALSE),0)</f>
        <v>0</v>
      </c>
      <c r="AQ75" s="30">
        <f t="shared" ref="AQ75:AQ85" si="76">IF(AM75&gt;1,1-((AN75-((AO75*AP75)/(SQRT(AM75))))/AN75),AR75)</f>
        <v>0</v>
      </c>
      <c r="AR75" s="30">
        <f>IF(AM75&gt;0,VLOOKUP(E75,FE!$I$10:$K$21,3,FALSE),0)</f>
        <v>0</v>
      </c>
      <c r="AS75" s="30">
        <f t="shared" ref="AS75:AS85" si="77">SQRT((AQ75*AQ75)+(AR75*AR75))</f>
        <v>0</v>
      </c>
      <c r="AT75" s="18">
        <f t="shared" ref="AT75:AT85" si="78">IFERROR((AL75*AS75)^2,0)</f>
        <v>0</v>
      </c>
    </row>
    <row r="76" spans="2:46" hidden="1">
      <c r="C76" s="11"/>
      <c r="D76" s="11"/>
      <c r="E76" s="11"/>
      <c r="F76" s="11"/>
      <c r="G76" s="33"/>
      <c r="H76" s="11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>
        <f t="shared" si="63"/>
        <v>0</v>
      </c>
      <c r="V76" s="18" t="str">
        <f>IFERROR(VLOOKUP(H76,Anexo!$C$24:$D$29,2,FALSE),"")</f>
        <v/>
      </c>
      <c r="W76" s="18" t="str">
        <f t="shared" si="64"/>
        <v/>
      </c>
      <c r="X76" s="18" t="str">
        <f t="shared" si="65"/>
        <v/>
      </c>
      <c r="Y76" s="18" t="str">
        <f t="shared" si="66"/>
        <v/>
      </c>
      <c r="Z76" s="18" t="str">
        <f>IFERROR(VLOOKUP(E76,FE!$I$10:$N$21,4,FALSE),"")</f>
        <v/>
      </c>
      <c r="AA76" s="18" t="str">
        <f>IFERROR(VLOOKUP(E76,FE!$I$10:$P$21,7,FALSE),"")</f>
        <v/>
      </c>
      <c r="AB76" s="41" t="str">
        <f>IFERROR(VLOOKUP(E76,FE!$I$10:$P$21,8,FALSE),"")</f>
        <v/>
      </c>
      <c r="AC76" s="18" t="str">
        <f>IFERROR(VLOOKUP(F76,FE!$I$10:$N$21,4,FALSE),"")</f>
        <v/>
      </c>
      <c r="AD76" s="18" t="str">
        <f>IFERROR(VLOOKUP(F76,FE!$I$10:$P$21,7,FALSE),"")</f>
        <v/>
      </c>
      <c r="AE76" s="41" t="str">
        <f>IFERROR(VLOOKUP(F76,FE!$I$10:$P$21,8,FALSE),"")</f>
        <v/>
      </c>
      <c r="AF76" s="18" t="str">
        <f t="shared" si="67"/>
        <v/>
      </c>
      <c r="AG76" s="18" t="str">
        <f t="shared" si="68"/>
        <v/>
      </c>
      <c r="AH76" s="18" t="str">
        <f t="shared" si="69"/>
        <v/>
      </c>
      <c r="AI76" s="18" t="str">
        <f t="shared" si="70"/>
        <v/>
      </c>
      <c r="AJ76" s="18" t="str">
        <f t="shared" si="71"/>
        <v/>
      </c>
      <c r="AK76" s="18" t="str">
        <f t="shared" si="72"/>
        <v/>
      </c>
      <c r="AL76" s="18" t="str">
        <f>IFERROR(AF76+(AG76*PCG!$D$9)+(AH76*PCG!$D$11)+(AJ76*PCG!$D$10)+(AK76*PCG!$D$11),"")</f>
        <v/>
      </c>
      <c r="AM76" s="18">
        <f t="shared" si="73"/>
        <v>0</v>
      </c>
      <c r="AN76" s="18">
        <f t="shared" si="74"/>
        <v>0</v>
      </c>
      <c r="AO76" s="18">
        <f t="shared" si="75"/>
        <v>0</v>
      </c>
      <c r="AP76" s="18">
        <f>IF(AM76&gt;1,VLOOKUP(AM76,Anexo!$G$7:$H$19,2,FALSE),0)</f>
        <v>0</v>
      </c>
      <c r="AQ76" s="30">
        <f t="shared" si="76"/>
        <v>0</v>
      </c>
      <c r="AR76" s="30">
        <f>IF(AM76&gt;0,VLOOKUP(E76,FE!$I$10:$K$21,3,FALSE),0)</f>
        <v>0</v>
      </c>
      <c r="AS76" s="30">
        <f t="shared" si="77"/>
        <v>0</v>
      </c>
      <c r="AT76" s="18">
        <f t="shared" si="78"/>
        <v>0</v>
      </c>
    </row>
    <row r="77" spans="2:46" hidden="1">
      <c r="C77" s="11"/>
      <c r="D77" s="11"/>
      <c r="E77" s="11"/>
      <c r="F77" s="11"/>
      <c r="G77" s="33"/>
      <c r="H77" s="11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>
        <f t="shared" si="63"/>
        <v>0</v>
      </c>
      <c r="V77" s="18" t="str">
        <f>IFERROR(VLOOKUP(H77,Anexo!$C$24:$D$29,2,FALSE),"")</f>
        <v/>
      </c>
      <c r="W77" s="18" t="str">
        <f t="shared" si="64"/>
        <v/>
      </c>
      <c r="X77" s="18" t="str">
        <f t="shared" si="65"/>
        <v/>
      </c>
      <c r="Y77" s="18" t="str">
        <f t="shared" si="66"/>
        <v/>
      </c>
      <c r="Z77" s="18" t="str">
        <f>IFERROR(VLOOKUP(E77,FE!$I$10:$N$21,4,FALSE),"")</f>
        <v/>
      </c>
      <c r="AA77" s="18" t="str">
        <f>IFERROR(VLOOKUP(E77,FE!$I$10:$P$21,7,FALSE),"")</f>
        <v/>
      </c>
      <c r="AB77" s="41" t="str">
        <f>IFERROR(VLOOKUP(E77,FE!$I$10:$P$21,8,FALSE),"")</f>
        <v/>
      </c>
      <c r="AC77" s="18" t="str">
        <f>IFERROR(VLOOKUP(F77,FE!$I$10:$N$21,4,FALSE),"")</f>
        <v/>
      </c>
      <c r="AD77" s="18" t="str">
        <f>IFERROR(VLOOKUP(F77,FE!$I$10:$P$21,7,FALSE),"")</f>
        <v/>
      </c>
      <c r="AE77" s="41" t="str">
        <f>IFERROR(VLOOKUP(F77,FE!$I$10:$P$21,8,FALSE),"")</f>
        <v/>
      </c>
      <c r="AF77" s="18" t="str">
        <f t="shared" si="67"/>
        <v/>
      </c>
      <c r="AG77" s="18" t="str">
        <f t="shared" si="68"/>
        <v/>
      </c>
      <c r="AH77" s="18" t="str">
        <f t="shared" si="69"/>
        <v/>
      </c>
      <c r="AI77" s="18" t="str">
        <f t="shared" si="70"/>
        <v/>
      </c>
      <c r="AJ77" s="18" t="str">
        <f t="shared" si="71"/>
        <v/>
      </c>
      <c r="AK77" s="18" t="str">
        <f t="shared" si="72"/>
        <v/>
      </c>
      <c r="AL77" s="18" t="str">
        <f>IFERROR(AF77+(AG77*PCG!$D$9)+(AH77*PCG!$D$11)+(AJ77*PCG!$D$10)+(AK77*PCG!$D$11),"")</f>
        <v/>
      </c>
      <c r="AM77" s="18">
        <f t="shared" si="73"/>
        <v>0</v>
      </c>
      <c r="AN77" s="18">
        <f t="shared" si="74"/>
        <v>0</v>
      </c>
      <c r="AO77" s="18">
        <f t="shared" si="75"/>
        <v>0</v>
      </c>
      <c r="AP77" s="18">
        <f>IF(AM77&gt;1,VLOOKUP(AM77,Anexo!$G$7:$H$19,2,FALSE),0)</f>
        <v>0</v>
      </c>
      <c r="AQ77" s="30">
        <f t="shared" si="76"/>
        <v>0</v>
      </c>
      <c r="AR77" s="30">
        <f>IF(AM77&gt;0,VLOOKUP(E77,FE!$I$10:$K$21,3,FALSE),0)</f>
        <v>0</v>
      </c>
      <c r="AS77" s="30">
        <f t="shared" si="77"/>
        <v>0</v>
      </c>
      <c r="AT77" s="18">
        <f t="shared" si="78"/>
        <v>0</v>
      </c>
    </row>
    <row r="78" spans="2:46" hidden="1">
      <c r="C78" s="11"/>
      <c r="D78" s="11"/>
      <c r="E78" s="11"/>
      <c r="F78" s="11"/>
      <c r="G78" s="33"/>
      <c r="H78" s="11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>
        <f t="shared" si="63"/>
        <v>0</v>
      </c>
      <c r="V78" s="18" t="str">
        <f>IFERROR(VLOOKUP(H78,Anexo!$C$24:$D$29,2,FALSE),"")</f>
        <v/>
      </c>
      <c r="W78" s="18" t="str">
        <f t="shared" si="64"/>
        <v/>
      </c>
      <c r="X78" s="18" t="str">
        <f t="shared" si="65"/>
        <v/>
      </c>
      <c r="Y78" s="18" t="str">
        <f t="shared" si="66"/>
        <v/>
      </c>
      <c r="Z78" s="18" t="str">
        <f>IFERROR(VLOOKUP(E78,FE!$I$10:$N$21,4,FALSE),"")</f>
        <v/>
      </c>
      <c r="AA78" s="18" t="str">
        <f>IFERROR(VLOOKUP(E78,FE!$I$10:$P$21,7,FALSE),"")</f>
        <v/>
      </c>
      <c r="AB78" s="41" t="str">
        <f>IFERROR(VLOOKUP(E78,FE!$I$10:$P$21,8,FALSE),"")</f>
        <v/>
      </c>
      <c r="AC78" s="18" t="str">
        <f>IFERROR(VLOOKUP(F78,FE!$I$10:$N$21,4,FALSE),"")</f>
        <v/>
      </c>
      <c r="AD78" s="18" t="str">
        <f>IFERROR(VLOOKUP(F78,FE!$I$10:$P$21,7,FALSE),"")</f>
        <v/>
      </c>
      <c r="AE78" s="41" t="str">
        <f>IFERROR(VLOOKUP(F78,FE!$I$10:$P$21,8,FALSE),"")</f>
        <v/>
      </c>
      <c r="AF78" s="18" t="str">
        <f t="shared" si="67"/>
        <v/>
      </c>
      <c r="AG78" s="18" t="str">
        <f t="shared" si="68"/>
        <v/>
      </c>
      <c r="AH78" s="18" t="str">
        <f t="shared" si="69"/>
        <v/>
      </c>
      <c r="AI78" s="18" t="str">
        <f t="shared" si="70"/>
        <v/>
      </c>
      <c r="AJ78" s="18" t="str">
        <f t="shared" si="71"/>
        <v/>
      </c>
      <c r="AK78" s="18" t="str">
        <f t="shared" si="72"/>
        <v/>
      </c>
      <c r="AL78" s="18" t="str">
        <f>IFERROR(AF78+(AG78*PCG!$D$9)+(AH78*PCG!$D$11)+(AJ78*PCG!$D$10)+(AK78*PCG!$D$11),"")</f>
        <v/>
      </c>
      <c r="AM78" s="18">
        <f t="shared" si="73"/>
        <v>0</v>
      </c>
      <c r="AN78" s="18">
        <f t="shared" si="74"/>
        <v>0</v>
      </c>
      <c r="AO78" s="18">
        <f t="shared" si="75"/>
        <v>0</v>
      </c>
      <c r="AP78" s="18">
        <f>IF(AM78&gt;1,VLOOKUP(AM78,Anexo!$G$7:$H$19,2,FALSE),0)</f>
        <v>0</v>
      </c>
      <c r="AQ78" s="30">
        <f t="shared" si="76"/>
        <v>0</v>
      </c>
      <c r="AR78" s="30">
        <f>IF(AM78&gt;0,VLOOKUP(E78,FE!$I$10:$K$21,3,FALSE),0)</f>
        <v>0</v>
      </c>
      <c r="AS78" s="30">
        <f t="shared" si="77"/>
        <v>0</v>
      </c>
      <c r="AT78" s="18">
        <f t="shared" si="78"/>
        <v>0</v>
      </c>
    </row>
    <row r="79" spans="2:46" hidden="1">
      <c r="C79" s="11"/>
      <c r="D79" s="11"/>
      <c r="E79" s="11"/>
      <c r="F79" s="11"/>
      <c r="G79" s="33"/>
      <c r="H79" s="11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8">
        <f t="shared" si="63"/>
        <v>0</v>
      </c>
      <c r="V79" s="18" t="str">
        <f>IFERROR(VLOOKUP(H79,Anexo!$C$24:$D$29,2,FALSE),"")</f>
        <v/>
      </c>
      <c r="W79" s="18" t="str">
        <f t="shared" si="64"/>
        <v/>
      </c>
      <c r="X79" s="18" t="str">
        <f t="shared" si="65"/>
        <v/>
      </c>
      <c r="Y79" s="18" t="str">
        <f t="shared" si="66"/>
        <v/>
      </c>
      <c r="Z79" s="18" t="str">
        <f>IFERROR(VLOOKUP(E79,FE!$I$10:$N$21,4,FALSE),"")</f>
        <v/>
      </c>
      <c r="AA79" s="18" t="str">
        <f>IFERROR(VLOOKUP(E79,FE!$I$10:$P$21,7,FALSE),"")</f>
        <v/>
      </c>
      <c r="AB79" s="41" t="str">
        <f>IFERROR(VLOOKUP(E79,FE!$I$10:$P$21,8,FALSE),"")</f>
        <v/>
      </c>
      <c r="AC79" s="18" t="str">
        <f>IFERROR(VLOOKUP(F79,FE!$I$10:$N$21,4,FALSE),"")</f>
        <v/>
      </c>
      <c r="AD79" s="18" t="str">
        <f>IFERROR(VLOOKUP(F79,FE!$I$10:$P$21,7,FALSE),"")</f>
        <v/>
      </c>
      <c r="AE79" s="41" t="str">
        <f>IFERROR(VLOOKUP(F79,FE!$I$10:$P$21,8,FALSE),"")</f>
        <v/>
      </c>
      <c r="AF79" s="18" t="str">
        <f t="shared" si="67"/>
        <v/>
      </c>
      <c r="AG79" s="18" t="str">
        <f t="shared" si="68"/>
        <v/>
      </c>
      <c r="AH79" s="18" t="str">
        <f t="shared" si="69"/>
        <v/>
      </c>
      <c r="AI79" s="18" t="str">
        <f t="shared" si="70"/>
        <v/>
      </c>
      <c r="AJ79" s="18" t="str">
        <f t="shared" si="71"/>
        <v/>
      </c>
      <c r="AK79" s="18" t="str">
        <f t="shared" si="72"/>
        <v/>
      </c>
      <c r="AL79" s="18" t="str">
        <f>IFERROR(AF79+(AG79*PCG!$D$9)+(AH79*PCG!$D$11)+(AJ79*PCG!$D$10)+(AK79*PCG!$D$11),"")</f>
        <v/>
      </c>
      <c r="AM79" s="18">
        <f t="shared" si="73"/>
        <v>0</v>
      </c>
      <c r="AN79" s="18">
        <f t="shared" si="74"/>
        <v>0</v>
      </c>
      <c r="AO79" s="18">
        <f t="shared" si="75"/>
        <v>0</v>
      </c>
      <c r="AP79" s="18">
        <f>IF(AM79&gt;1,VLOOKUP(AM79,Anexo!$G$7:$H$19,2,FALSE),0)</f>
        <v>0</v>
      </c>
      <c r="AQ79" s="30">
        <f t="shared" si="76"/>
        <v>0</v>
      </c>
      <c r="AR79" s="30">
        <f>IF(AM79&gt;0,VLOOKUP(E79,FE!$I$10:$K$21,3,FALSE),0)</f>
        <v>0</v>
      </c>
      <c r="AS79" s="30">
        <f t="shared" si="77"/>
        <v>0</v>
      </c>
      <c r="AT79" s="18">
        <f t="shared" si="78"/>
        <v>0</v>
      </c>
    </row>
    <row r="80" spans="2:46" hidden="1">
      <c r="C80" s="11"/>
      <c r="D80" s="11"/>
      <c r="E80" s="11"/>
      <c r="F80" s="11"/>
      <c r="G80" s="33"/>
      <c r="H80" s="11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>
        <f t="shared" si="63"/>
        <v>0</v>
      </c>
      <c r="V80" s="18" t="str">
        <f>IFERROR(VLOOKUP(H80,Anexo!$C$24:$D$29,2,FALSE),"")</f>
        <v/>
      </c>
      <c r="W80" s="18" t="str">
        <f t="shared" si="64"/>
        <v/>
      </c>
      <c r="X80" s="18" t="str">
        <f t="shared" si="65"/>
        <v/>
      </c>
      <c r="Y80" s="18" t="str">
        <f t="shared" si="66"/>
        <v/>
      </c>
      <c r="Z80" s="18" t="str">
        <f>IFERROR(VLOOKUP(E80,FE!$I$10:$N$21,4,FALSE),"")</f>
        <v/>
      </c>
      <c r="AA80" s="18" t="str">
        <f>IFERROR(VLOOKUP(E80,FE!$I$10:$P$21,7,FALSE),"")</f>
        <v/>
      </c>
      <c r="AB80" s="41" t="str">
        <f>IFERROR(VLOOKUP(E80,FE!$I$10:$P$21,8,FALSE),"")</f>
        <v/>
      </c>
      <c r="AC80" s="18" t="str">
        <f>IFERROR(VLOOKUP(F80,FE!$I$10:$N$21,4,FALSE),"")</f>
        <v/>
      </c>
      <c r="AD80" s="18" t="str">
        <f>IFERROR(VLOOKUP(F80,FE!$I$10:$P$21,7,FALSE),"")</f>
        <v/>
      </c>
      <c r="AE80" s="41" t="str">
        <f>IFERROR(VLOOKUP(F80,FE!$I$10:$P$21,8,FALSE),"")</f>
        <v/>
      </c>
      <c r="AF80" s="18" t="str">
        <f t="shared" si="67"/>
        <v/>
      </c>
      <c r="AG80" s="18" t="str">
        <f t="shared" si="68"/>
        <v/>
      </c>
      <c r="AH80" s="18" t="str">
        <f t="shared" si="69"/>
        <v/>
      </c>
      <c r="AI80" s="18" t="str">
        <f t="shared" si="70"/>
        <v/>
      </c>
      <c r="AJ80" s="18" t="str">
        <f t="shared" si="71"/>
        <v/>
      </c>
      <c r="AK80" s="18" t="str">
        <f t="shared" si="72"/>
        <v/>
      </c>
      <c r="AL80" s="18" t="str">
        <f>IFERROR(AF80+(AG80*PCG!$D$9)+(AH80*PCG!$D$11)+(AJ80*PCG!$D$10)+(AK80*PCG!$D$11),"")</f>
        <v/>
      </c>
      <c r="AM80" s="18">
        <f t="shared" si="73"/>
        <v>0</v>
      </c>
      <c r="AN80" s="18">
        <f t="shared" si="74"/>
        <v>0</v>
      </c>
      <c r="AO80" s="18">
        <f t="shared" si="75"/>
        <v>0</v>
      </c>
      <c r="AP80" s="18">
        <f>IF(AM80&gt;1,VLOOKUP(AM80,Anexo!$G$7:$H$19,2,FALSE),0)</f>
        <v>0</v>
      </c>
      <c r="AQ80" s="30">
        <f t="shared" si="76"/>
        <v>0</v>
      </c>
      <c r="AR80" s="30">
        <f>IF(AM80&gt;0,VLOOKUP(E80,FE!$I$10:$K$21,3,FALSE),0)</f>
        <v>0</v>
      </c>
      <c r="AS80" s="30">
        <f t="shared" si="77"/>
        <v>0</v>
      </c>
      <c r="AT80" s="18">
        <f t="shared" si="78"/>
        <v>0</v>
      </c>
    </row>
    <row r="81" spans="2:46" hidden="1">
      <c r="C81" s="11"/>
      <c r="D81" s="11"/>
      <c r="E81" s="11"/>
      <c r="F81" s="11"/>
      <c r="G81" s="33"/>
      <c r="H81" s="11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8">
        <f t="shared" si="63"/>
        <v>0</v>
      </c>
      <c r="V81" s="18" t="str">
        <f>IFERROR(VLOOKUP(H81,Anexo!$C$24:$D$29,2,FALSE),"")</f>
        <v/>
      </c>
      <c r="W81" s="18" t="str">
        <f t="shared" si="64"/>
        <v/>
      </c>
      <c r="X81" s="18" t="str">
        <f t="shared" si="65"/>
        <v/>
      </c>
      <c r="Y81" s="18" t="str">
        <f t="shared" si="66"/>
        <v/>
      </c>
      <c r="Z81" s="18" t="str">
        <f>IFERROR(VLOOKUP(E81,FE!$I$10:$N$21,4,FALSE),"")</f>
        <v/>
      </c>
      <c r="AA81" s="18" t="str">
        <f>IFERROR(VLOOKUP(E81,FE!$I$10:$P$21,7,FALSE),"")</f>
        <v/>
      </c>
      <c r="AB81" s="41" t="str">
        <f>IFERROR(VLOOKUP(E81,FE!$I$10:$P$21,8,FALSE),"")</f>
        <v/>
      </c>
      <c r="AC81" s="18" t="str">
        <f>IFERROR(VLOOKUP(F81,FE!$I$10:$N$21,4,FALSE),"")</f>
        <v/>
      </c>
      <c r="AD81" s="18" t="str">
        <f>IFERROR(VLOOKUP(F81,FE!$I$10:$P$21,7,FALSE),"")</f>
        <v/>
      </c>
      <c r="AE81" s="41" t="str">
        <f>IFERROR(VLOOKUP(F81,FE!$I$10:$P$21,8,FALSE),"")</f>
        <v/>
      </c>
      <c r="AF81" s="18" t="str">
        <f t="shared" si="67"/>
        <v/>
      </c>
      <c r="AG81" s="18" t="str">
        <f t="shared" si="68"/>
        <v/>
      </c>
      <c r="AH81" s="18" t="str">
        <f t="shared" si="69"/>
        <v/>
      </c>
      <c r="AI81" s="18" t="str">
        <f t="shared" si="70"/>
        <v/>
      </c>
      <c r="AJ81" s="18" t="str">
        <f t="shared" si="71"/>
        <v/>
      </c>
      <c r="AK81" s="18" t="str">
        <f t="shared" si="72"/>
        <v/>
      </c>
      <c r="AL81" s="18" t="str">
        <f>IFERROR(AF81+(AG81*PCG!$D$9)+(AH81*PCG!$D$11)+(AJ81*PCG!$D$10)+(AK81*PCG!$D$11),"")</f>
        <v/>
      </c>
      <c r="AM81" s="18">
        <f t="shared" si="73"/>
        <v>0</v>
      </c>
      <c r="AN81" s="18">
        <f t="shared" si="74"/>
        <v>0</v>
      </c>
      <c r="AO81" s="18">
        <f t="shared" si="75"/>
        <v>0</v>
      </c>
      <c r="AP81" s="18">
        <f>IF(AM81&gt;1,VLOOKUP(AM81,Anexo!$G$7:$H$19,2,FALSE),0)</f>
        <v>0</v>
      </c>
      <c r="AQ81" s="30">
        <f t="shared" si="76"/>
        <v>0</v>
      </c>
      <c r="AR81" s="30">
        <f>IF(AM81&gt;0,VLOOKUP(E81,FE!$I$10:$K$21,3,FALSE),0)</f>
        <v>0</v>
      </c>
      <c r="AS81" s="30">
        <f t="shared" si="77"/>
        <v>0</v>
      </c>
      <c r="AT81" s="18">
        <f t="shared" si="78"/>
        <v>0</v>
      </c>
    </row>
    <row r="82" spans="2:46" hidden="1">
      <c r="C82" s="11"/>
      <c r="D82" s="11"/>
      <c r="E82" s="11"/>
      <c r="F82" s="11"/>
      <c r="G82" s="33"/>
      <c r="H82" s="11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8">
        <f t="shared" si="63"/>
        <v>0</v>
      </c>
      <c r="V82" s="18" t="str">
        <f>IFERROR(VLOOKUP(H82,Anexo!$C$24:$D$29,2,FALSE),"")</f>
        <v/>
      </c>
      <c r="W82" s="18" t="str">
        <f t="shared" si="64"/>
        <v/>
      </c>
      <c r="X82" s="18" t="str">
        <f t="shared" si="65"/>
        <v/>
      </c>
      <c r="Y82" s="18" t="str">
        <f t="shared" si="66"/>
        <v/>
      </c>
      <c r="Z82" s="18" t="str">
        <f>IFERROR(VLOOKUP(E82,FE!$I$10:$N$21,4,FALSE),"")</f>
        <v/>
      </c>
      <c r="AA82" s="18" t="str">
        <f>IFERROR(VLOOKUP(E82,FE!$I$10:$P$21,7,FALSE),"")</f>
        <v/>
      </c>
      <c r="AB82" s="41" t="str">
        <f>IFERROR(VLOOKUP(E82,FE!$I$10:$P$21,8,FALSE),"")</f>
        <v/>
      </c>
      <c r="AC82" s="18" t="str">
        <f>IFERROR(VLOOKUP(F82,FE!$I$10:$N$21,4,FALSE),"")</f>
        <v/>
      </c>
      <c r="AD82" s="18" t="str">
        <f>IFERROR(VLOOKUP(F82,FE!$I$10:$P$21,7,FALSE),"")</f>
        <v/>
      </c>
      <c r="AE82" s="41" t="str">
        <f>IFERROR(VLOOKUP(F82,FE!$I$10:$P$21,8,FALSE),"")</f>
        <v/>
      </c>
      <c r="AF82" s="18" t="str">
        <f t="shared" si="67"/>
        <v/>
      </c>
      <c r="AG82" s="18" t="str">
        <f t="shared" si="68"/>
        <v/>
      </c>
      <c r="AH82" s="18" t="str">
        <f t="shared" si="69"/>
        <v/>
      </c>
      <c r="AI82" s="18" t="str">
        <f t="shared" si="70"/>
        <v/>
      </c>
      <c r="AJ82" s="18" t="str">
        <f t="shared" si="71"/>
        <v/>
      </c>
      <c r="AK82" s="18" t="str">
        <f t="shared" si="72"/>
        <v/>
      </c>
      <c r="AL82" s="18" t="str">
        <f>IFERROR(AF82+(AG82*PCG!$D$9)+(AH82*PCG!$D$11)+(AJ82*PCG!$D$10)+(AK82*PCG!$D$11),"")</f>
        <v/>
      </c>
      <c r="AM82" s="18">
        <f t="shared" si="73"/>
        <v>0</v>
      </c>
      <c r="AN82" s="18">
        <f t="shared" si="74"/>
        <v>0</v>
      </c>
      <c r="AO82" s="18">
        <f t="shared" si="75"/>
        <v>0</v>
      </c>
      <c r="AP82" s="18">
        <f>IF(AM82&gt;1,VLOOKUP(AM82,Anexo!$G$7:$H$19,2,FALSE),0)</f>
        <v>0</v>
      </c>
      <c r="AQ82" s="30">
        <f t="shared" si="76"/>
        <v>0</v>
      </c>
      <c r="AR82" s="30">
        <f>IF(AM82&gt;0,VLOOKUP(E82,FE!$I$10:$K$21,3,FALSE),0)</f>
        <v>0</v>
      </c>
      <c r="AS82" s="30">
        <f t="shared" si="77"/>
        <v>0</v>
      </c>
      <c r="AT82" s="18">
        <f t="shared" si="78"/>
        <v>0</v>
      </c>
    </row>
    <row r="83" spans="2:46" hidden="1">
      <c r="C83" s="11"/>
      <c r="D83" s="11"/>
      <c r="E83" s="11"/>
      <c r="F83" s="11"/>
      <c r="G83" s="33"/>
      <c r="H83" s="11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8">
        <f t="shared" si="63"/>
        <v>0</v>
      </c>
      <c r="V83" s="18" t="str">
        <f>IFERROR(VLOOKUP(H83,Anexo!$C$24:$D$29,2,FALSE),"")</f>
        <v/>
      </c>
      <c r="W83" s="18" t="str">
        <f t="shared" si="64"/>
        <v/>
      </c>
      <c r="X83" s="18" t="str">
        <f t="shared" si="65"/>
        <v/>
      </c>
      <c r="Y83" s="18" t="str">
        <f t="shared" si="66"/>
        <v/>
      </c>
      <c r="Z83" s="18" t="str">
        <f>IFERROR(VLOOKUP(E83,FE!$I$10:$N$21,4,FALSE),"")</f>
        <v/>
      </c>
      <c r="AA83" s="18" t="str">
        <f>IFERROR(VLOOKUP(E83,FE!$I$10:$P$21,7,FALSE),"")</f>
        <v/>
      </c>
      <c r="AB83" s="41" t="str">
        <f>IFERROR(VLOOKUP(E83,FE!$I$10:$P$21,8,FALSE),"")</f>
        <v/>
      </c>
      <c r="AC83" s="18" t="str">
        <f>IFERROR(VLOOKUP(F83,FE!$I$10:$N$21,4,FALSE),"")</f>
        <v/>
      </c>
      <c r="AD83" s="18" t="str">
        <f>IFERROR(VLOOKUP(F83,FE!$I$10:$P$21,7,FALSE),"")</f>
        <v/>
      </c>
      <c r="AE83" s="41" t="str">
        <f>IFERROR(VLOOKUP(F83,FE!$I$10:$P$21,8,FALSE),"")</f>
        <v/>
      </c>
      <c r="AF83" s="18" t="str">
        <f t="shared" si="67"/>
        <v/>
      </c>
      <c r="AG83" s="18" t="str">
        <f t="shared" si="68"/>
        <v/>
      </c>
      <c r="AH83" s="18" t="str">
        <f t="shared" si="69"/>
        <v/>
      </c>
      <c r="AI83" s="18" t="str">
        <f t="shared" si="70"/>
        <v/>
      </c>
      <c r="AJ83" s="18" t="str">
        <f t="shared" si="71"/>
        <v/>
      </c>
      <c r="AK83" s="18" t="str">
        <f t="shared" si="72"/>
        <v/>
      </c>
      <c r="AL83" s="18" t="str">
        <f>IFERROR(AF83+(AG83*PCG!$D$9)+(AH83*PCG!$D$11)+(AJ83*PCG!$D$10)+(AK83*PCG!$D$11),"")</f>
        <v/>
      </c>
      <c r="AM83" s="18">
        <f t="shared" si="73"/>
        <v>0</v>
      </c>
      <c r="AN83" s="18">
        <f t="shared" si="74"/>
        <v>0</v>
      </c>
      <c r="AO83" s="18">
        <f t="shared" si="75"/>
        <v>0</v>
      </c>
      <c r="AP83" s="18">
        <f>IF(AM83&gt;1,VLOOKUP(AM83,Anexo!$G$7:$H$19,2,FALSE),0)</f>
        <v>0</v>
      </c>
      <c r="AQ83" s="30">
        <f t="shared" si="76"/>
        <v>0</v>
      </c>
      <c r="AR83" s="30">
        <f>IF(AM83&gt;0,VLOOKUP(E83,FE!$I$10:$K$21,3,FALSE),0)</f>
        <v>0</v>
      </c>
      <c r="AS83" s="30">
        <f t="shared" si="77"/>
        <v>0</v>
      </c>
      <c r="AT83" s="18">
        <f t="shared" si="78"/>
        <v>0</v>
      </c>
    </row>
    <row r="84" spans="2:46" hidden="1">
      <c r="C84" s="11"/>
      <c r="D84" s="11"/>
      <c r="E84" s="11"/>
      <c r="F84" s="11"/>
      <c r="G84" s="33"/>
      <c r="H84" s="11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8">
        <f t="shared" si="63"/>
        <v>0</v>
      </c>
      <c r="V84" s="18" t="str">
        <f>IFERROR(VLOOKUP(H84,Anexo!$C$24:$D$29,2,FALSE),"")</f>
        <v/>
      </c>
      <c r="W84" s="18" t="str">
        <f t="shared" si="64"/>
        <v/>
      </c>
      <c r="X84" s="18" t="str">
        <f t="shared" si="65"/>
        <v/>
      </c>
      <c r="Y84" s="18" t="str">
        <f t="shared" si="66"/>
        <v/>
      </c>
      <c r="Z84" s="18" t="str">
        <f>IFERROR(VLOOKUP(E84,FE!$I$10:$N$21,4,FALSE),"")</f>
        <v/>
      </c>
      <c r="AA84" s="18" t="str">
        <f>IFERROR(VLOOKUP(E84,FE!$I$10:$P$21,7,FALSE),"")</f>
        <v/>
      </c>
      <c r="AB84" s="41" t="str">
        <f>IFERROR(VLOOKUP(E84,FE!$I$10:$P$21,8,FALSE),"")</f>
        <v/>
      </c>
      <c r="AC84" s="18" t="str">
        <f>IFERROR(VLOOKUP(F84,FE!$I$10:$N$21,4,FALSE),"")</f>
        <v/>
      </c>
      <c r="AD84" s="18" t="str">
        <f>IFERROR(VLOOKUP(F84,FE!$I$10:$P$21,7,FALSE),"")</f>
        <v/>
      </c>
      <c r="AE84" s="41" t="str">
        <f>IFERROR(VLOOKUP(F84,FE!$I$10:$P$21,8,FALSE),"")</f>
        <v/>
      </c>
      <c r="AF84" s="18" t="str">
        <f t="shared" si="67"/>
        <v/>
      </c>
      <c r="AG84" s="18" t="str">
        <f t="shared" si="68"/>
        <v/>
      </c>
      <c r="AH84" s="18" t="str">
        <f t="shared" si="69"/>
        <v/>
      </c>
      <c r="AI84" s="18" t="str">
        <f t="shared" si="70"/>
        <v/>
      </c>
      <c r="AJ84" s="18" t="str">
        <f t="shared" si="71"/>
        <v/>
      </c>
      <c r="AK84" s="18" t="str">
        <f t="shared" si="72"/>
        <v/>
      </c>
      <c r="AL84" s="18" t="str">
        <f>IFERROR(AF84+(AG84*PCG!$D$9)+(AH84*PCG!$D$11)+(AJ84*PCG!$D$10)+(AK84*PCG!$D$11),"")</f>
        <v/>
      </c>
      <c r="AM84" s="18">
        <f t="shared" si="73"/>
        <v>0</v>
      </c>
      <c r="AN84" s="18">
        <f t="shared" si="74"/>
        <v>0</v>
      </c>
      <c r="AO84" s="18">
        <f t="shared" si="75"/>
        <v>0</v>
      </c>
      <c r="AP84" s="18">
        <f>IF(AM84&gt;1,VLOOKUP(AM84,Anexo!$G$7:$H$19,2,FALSE),0)</f>
        <v>0</v>
      </c>
      <c r="AQ84" s="30">
        <f t="shared" si="76"/>
        <v>0</v>
      </c>
      <c r="AR84" s="30">
        <f>IF(AM84&gt;0,VLOOKUP(E84,FE!$I$10:$K$21,3,FALSE),0)</f>
        <v>0</v>
      </c>
      <c r="AS84" s="30">
        <f t="shared" si="77"/>
        <v>0</v>
      </c>
      <c r="AT84" s="18">
        <f t="shared" si="78"/>
        <v>0</v>
      </c>
    </row>
    <row r="85" spans="2:46" hidden="1">
      <c r="C85" s="11"/>
      <c r="D85" s="11"/>
      <c r="E85" s="11"/>
      <c r="F85" s="11"/>
      <c r="G85" s="33"/>
      <c r="H85" s="11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>
        <f t="shared" si="63"/>
        <v>0</v>
      </c>
      <c r="V85" s="18" t="str">
        <f>IFERROR(VLOOKUP(H85,Anexo!$C$24:$D$29,2,FALSE),"")</f>
        <v/>
      </c>
      <c r="W85" s="18" t="str">
        <f t="shared" si="64"/>
        <v/>
      </c>
      <c r="X85" s="18" t="str">
        <f t="shared" si="65"/>
        <v/>
      </c>
      <c r="Y85" s="18" t="str">
        <f t="shared" si="66"/>
        <v/>
      </c>
      <c r="Z85" s="18" t="str">
        <f>IFERROR(VLOOKUP(E85,FE!$I$10:$N$21,4,FALSE),"")</f>
        <v/>
      </c>
      <c r="AA85" s="18" t="str">
        <f>IFERROR(VLOOKUP(E85,FE!$I$10:$P$21,7,FALSE),"")</f>
        <v/>
      </c>
      <c r="AB85" s="41" t="str">
        <f>IFERROR(VLOOKUP(E85,FE!$I$10:$P$21,8,FALSE),"")</f>
        <v/>
      </c>
      <c r="AC85" s="18" t="str">
        <f>IFERROR(VLOOKUP(F85,FE!$I$10:$N$21,4,FALSE),"")</f>
        <v/>
      </c>
      <c r="AD85" s="18" t="str">
        <f>IFERROR(VLOOKUP(F85,FE!$I$10:$P$21,7,FALSE),"")</f>
        <v/>
      </c>
      <c r="AE85" s="41" t="str">
        <f>IFERROR(VLOOKUP(F85,FE!$I$10:$P$21,8,FALSE),"")</f>
        <v/>
      </c>
      <c r="AF85" s="18" t="str">
        <f t="shared" si="67"/>
        <v/>
      </c>
      <c r="AG85" s="18" t="str">
        <f t="shared" si="68"/>
        <v/>
      </c>
      <c r="AH85" s="18" t="str">
        <f t="shared" si="69"/>
        <v/>
      </c>
      <c r="AI85" s="18" t="str">
        <f t="shared" si="70"/>
        <v/>
      </c>
      <c r="AJ85" s="18" t="str">
        <f t="shared" si="71"/>
        <v/>
      </c>
      <c r="AK85" s="18" t="str">
        <f t="shared" si="72"/>
        <v/>
      </c>
      <c r="AL85" s="18" t="str">
        <f>IFERROR(AF85+(AG85*PCG!$D$9)+(AH85*PCG!$D$11)+(AJ85*PCG!$D$10)+(AK85*PCG!$D$11),"")</f>
        <v/>
      </c>
      <c r="AM85" s="18">
        <f t="shared" si="73"/>
        <v>0</v>
      </c>
      <c r="AN85" s="18">
        <f t="shared" si="74"/>
        <v>0</v>
      </c>
      <c r="AO85" s="18">
        <f t="shared" si="75"/>
        <v>0</v>
      </c>
      <c r="AP85" s="18">
        <f>IF(AM85&gt;1,VLOOKUP(AM85,Anexo!$G$7:$H$19,2,FALSE),0)</f>
        <v>0</v>
      </c>
      <c r="AQ85" s="30">
        <f t="shared" si="76"/>
        <v>0</v>
      </c>
      <c r="AR85" s="30">
        <f>IF(AM85&gt;0,VLOOKUP(E85,FE!$I$10:$K$21,3,FALSE),0)</f>
        <v>0</v>
      </c>
      <c r="AS85" s="30">
        <f t="shared" si="77"/>
        <v>0</v>
      </c>
      <c r="AT85" s="18">
        <f t="shared" si="78"/>
        <v>0</v>
      </c>
    </row>
    <row r="86" spans="2:46" hidden="1">
      <c r="U86" s="29">
        <f>SUM(U74:U85)</f>
        <v>0</v>
      </c>
      <c r="W86" s="29">
        <f>SUM(W74:W85)</f>
        <v>0</v>
      </c>
      <c r="X86" s="29">
        <f>SUM(X74:X85)</f>
        <v>0</v>
      </c>
      <c r="Y86" s="29">
        <f>SUM(Y74:Y85)</f>
        <v>0</v>
      </c>
      <c r="AF86" s="29">
        <f t="shared" ref="AF86" si="79">SUM(AF74:AF85)</f>
        <v>0</v>
      </c>
      <c r="AG86" s="29">
        <f t="shared" ref="AG86" si="80">SUM(AG74:AG85)</f>
        <v>0</v>
      </c>
      <c r="AH86" s="29">
        <f t="shared" ref="AH86" si="81">SUM(AH74:AH85)</f>
        <v>0</v>
      </c>
      <c r="AI86" s="29">
        <f t="shared" ref="AI86" si="82">SUM(AI74:AI85)</f>
        <v>0</v>
      </c>
      <c r="AJ86" s="29">
        <f t="shared" ref="AJ86" si="83">SUM(AJ74:AJ85)</f>
        <v>0</v>
      </c>
      <c r="AK86" s="29">
        <f t="shared" ref="AK86" si="84">SUM(AK74:AK85)</f>
        <v>0</v>
      </c>
      <c r="AL86" s="29">
        <f>SUM(AL74:AL85)</f>
        <v>0</v>
      </c>
      <c r="AS86" s="31">
        <f>IF(AL86&gt;0,SQRT(SUM(AT74:AT85))/AL86,0)</f>
        <v>0</v>
      </c>
      <c r="AT86" s="29">
        <f>(AL86*AS86)^2</f>
        <v>0</v>
      </c>
    </row>
    <row r="88" spans="2:46">
      <c r="B88" s="2" t="s">
        <v>83</v>
      </c>
      <c r="C88" s="191" t="s">
        <v>84</v>
      </c>
      <c r="D88" s="192"/>
      <c r="E88" s="192"/>
      <c r="F88" s="193"/>
    </row>
    <row r="89" spans="2:46">
      <c r="C89" s="196" t="s">
        <v>85</v>
      </c>
      <c r="D89" s="196"/>
      <c r="E89" s="196"/>
      <c r="F89" s="196"/>
    </row>
    <row r="90" spans="2:46" ht="38.25">
      <c r="C90" s="6" t="s">
        <v>86</v>
      </c>
      <c r="D90" s="6" t="s">
        <v>87</v>
      </c>
      <c r="E90" s="6" t="s">
        <v>88</v>
      </c>
      <c r="F90" s="6" t="s">
        <v>89</v>
      </c>
      <c r="G90" s="6" t="s">
        <v>10</v>
      </c>
      <c r="H90" s="6" t="s">
        <v>11</v>
      </c>
      <c r="I90" s="6" t="s">
        <v>12</v>
      </c>
      <c r="J90" s="6" t="s">
        <v>13</v>
      </c>
      <c r="K90" s="6" t="s">
        <v>14</v>
      </c>
      <c r="L90" s="6" t="s">
        <v>15</v>
      </c>
      <c r="M90" s="6" t="s">
        <v>16</v>
      </c>
      <c r="N90" s="6" t="s">
        <v>17</v>
      </c>
      <c r="O90" s="6" t="s">
        <v>18</v>
      </c>
      <c r="P90" s="6" t="s">
        <v>19</v>
      </c>
      <c r="Q90" s="6" t="s">
        <v>20</v>
      </c>
      <c r="R90" s="6" t="s">
        <v>21</v>
      </c>
      <c r="S90" s="6" t="s">
        <v>90</v>
      </c>
      <c r="T90" s="6" t="s">
        <v>60</v>
      </c>
      <c r="U90" s="6" t="s">
        <v>89</v>
      </c>
      <c r="V90" s="6" t="s">
        <v>91</v>
      </c>
      <c r="W90" s="5" t="s">
        <v>34</v>
      </c>
      <c r="X90" s="5" t="s">
        <v>35</v>
      </c>
      <c r="Y90" s="5" t="s">
        <v>36</v>
      </c>
      <c r="Z90" s="5" t="s">
        <v>37</v>
      </c>
      <c r="AA90" s="5" t="s">
        <v>38</v>
      </c>
      <c r="AB90" s="5" t="s">
        <v>39</v>
      </c>
      <c r="AC90" s="5" t="s">
        <v>40</v>
      </c>
      <c r="AD90" s="5" t="s">
        <v>41</v>
      </c>
    </row>
    <row r="91" spans="2:46" ht="25.5">
      <c r="C91" s="11" t="s">
        <v>92</v>
      </c>
      <c r="D91" s="11" t="s">
        <v>65</v>
      </c>
      <c r="E91" s="11" t="s">
        <v>93</v>
      </c>
      <c r="F91" s="18" t="s">
        <v>68</v>
      </c>
      <c r="G91" s="42"/>
      <c r="H91" s="42"/>
      <c r="I91" s="42">
        <v>4.0322580645161296E-2</v>
      </c>
      <c r="J91" s="42"/>
      <c r="K91" s="42">
        <v>2.5201612903225812E-2</v>
      </c>
      <c r="L91" s="42">
        <v>1.3440860215053765E-2</v>
      </c>
      <c r="M91" s="42"/>
      <c r="N91" s="42">
        <v>1.6801075268817207E-2</v>
      </c>
      <c r="O91" s="42">
        <v>3.0241935483870972E-2</v>
      </c>
      <c r="P91" s="42">
        <v>1.6801075268817207E-2</v>
      </c>
      <c r="Q91" s="42">
        <v>2.0161290322580648E-2</v>
      </c>
      <c r="R91" s="42">
        <v>1.3440860215053765E-2</v>
      </c>
      <c r="S91" s="18">
        <f>SUM(G91:R91)</f>
        <v>0.17641129032258068</v>
      </c>
      <c r="T91" s="18">
        <f>IFERROR(VLOOKUP(E91,FE!$B$67:$F$69,4,FALSE),"")</f>
        <v>1.5623102879999999</v>
      </c>
      <c r="U91" s="18" t="str">
        <f>IFERROR(VLOOKUP(E91,FE!$B$67:$F$69,5,FALSE),"")</f>
        <v>kgCO2/galón</v>
      </c>
      <c r="V91" s="124">
        <f>IFERROR(S91*T91/1000,"")</f>
        <v>2.7560917379032264E-4</v>
      </c>
      <c r="W91" s="18">
        <f>COUNTIF(G91:R91,"&gt;0")</f>
        <v>8</v>
      </c>
      <c r="X91" s="18">
        <f>IF(W91&gt;1,AVERAGE(G91:R91),0)</f>
        <v>2.2051411290322585E-2</v>
      </c>
      <c r="Y91" s="18">
        <f>IF(W91&gt;1,STDEV(G91:R91),0)</f>
        <v>9.3947696691144833E-3</v>
      </c>
      <c r="Z91" s="18">
        <f>IF(W91&gt;1,VLOOKUP(W91,Anexo!$G$7:$H$19,2,FALSE),0)</f>
        <v>2.36</v>
      </c>
      <c r="AA91" s="30">
        <f>IF(W91&gt;1,1-((X91-((Y91*Z91)/(SQRT(W91))))/X91),AB91)</f>
        <v>0.35548129772019021</v>
      </c>
      <c r="AB91" s="30">
        <f>IF(W91&gt;0,VLOOKUP(E91,FE!$B$67:$C$69,2,FALSE),0)</f>
        <v>0.5</v>
      </c>
      <c r="AC91" s="30">
        <f>SQRT((AA91*AA91)+(AB91*AB91))</f>
        <v>0.61348753290415814</v>
      </c>
      <c r="AD91" s="18">
        <f>IFERROR((V91*AC91)^2,0)</f>
        <v>2.8588990575667479E-8</v>
      </c>
    </row>
    <row r="92" spans="2:46" ht="25.5">
      <c r="C92" s="11" t="s">
        <v>92</v>
      </c>
      <c r="D92" s="11" t="s">
        <v>65</v>
      </c>
      <c r="E92" s="11" t="s">
        <v>94</v>
      </c>
      <c r="F92" s="18" t="str">
        <f>IFERROR(VLOOKUP(E92,[1]FE!$B$67:$D$69,3,FALSE),"")</f>
        <v>kg</v>
      </c>
      <c r="G92" s="42"/>
      <c r="H92" s="42"/>
      <c r="I92" s="42">
        <v>2.977049180327869E-2</v>
      </c>
      <c r="J92" s="42"/>
      <c r="K92" s="42"/>
      <c r="L92" s="42"/>
      <c r="M92" s="42"/>
      <c r="N92" s="42"/>
      <c r="O92" s="42">
        <v>2.2327868852459017E-2</v>
      </c>
      <c r="P92" s="42"/>
      <c r="Q92" s="42">
        <v>5.209836065573771E-2</v>
      </c>
      <c r="R92" s="42"/>
      <c r="S92" s="18">
        <f t="shared" ref="S92:S111" si="85">SUM(G92:R92)</f>
        <v>0.10419672131147542</v>
      </c>
      <c r="T92" s="18">
        <f>IFERROR(VLOOKUP(E92,FE!$B$67:$F$69,4,FALSE),"")</f>
        <v>0.58960000000000001</v>
      </c>
      <c r="U92" s="18" t="str">
        <f>IFERROR(VLOOKUP(E92,FE!$B$67:$F$69,5,FALSE),"")</f>
        <v>kgCO2/kg</v>
      </c>
      <c r="V92" s="124">
        <f t="shared" ref="V92:V111" si="86">IFERROR(S92*T92/1000,"")</f>
        <v>6.1434386885245908E-5</v>
      </c>
      <c r="W92" s="18">
        <f t="shared" ref="W92:W111" si="87">COUNTIF(G92:R92,"&gt;0")</f>
        <v>3</v>
      </c>
      <c r="X92" s="18">
        <f t="shared" ref="X92:X111" si="88">IF(W92&gt;1,AVERAGE(G92:R92),0)</f>
        <v>3.4732240437158474E-2</v>
      </c>
      <c r="Y92" s="18">
        <f t="shared" ref="Y92:Y111" si="89">IF(W92&gt;1,STDEV(G92:R92),0)</f>
        <v>1.5493055143567608E-2</v>
      </c>
      <c r="Z92" s="18">
        <f>IF(W92&gt;1,VLOOKUP(W92,Anexo!$G$7:$H$19,2,FALSE),0)</f>
        <v>4.3</v>
      </c>
      <c r="AA92" s="30">
        <f t="shared" ref="AA92:AA111" si="90">IF(W92&gt;1,1-((X92-((Y92*Z92)/(SQRT(W92))))/X92),AB92)</f>
        <v>1.1074193203210823</v>
      </c>
      <c r="AB92" s="30">
        <f>IF(W92&gt;0,VLOOKUP(E92,FE!$B$67:$C$69,2,FALSE),0)</f>
        <v>0.5</v>
      </c>
      <c r="AC92" s="30">
        <f t="shared" ref="AC92:AC111" si="91">SQRT((AA92*AA92)+(AB92*AB92))</f>
        <v>1.2150627765759296</v>
      </c>
      <c r="AD92" s="18">
        <f t="shared" ref="AD92:AD111" si="92">IFERROR((V92*AC92)^2,0)</f>
        <v>5.5721203715215435E-9</v>
      </c>
    </row>
    <row r="93" spans="2:46" ht="25.5">
      <c r="C93" s="11" t="s">
        <v>92</v>
      </c>
      <c r="D93" s="11" t="s">
        <v>69</v>
      </c>
      <c r="E93" s="11" t="s">
        <v>93</v>
      </c>
      <c r="F93" s="18" t="str">
        <f>IFERROR(VLOOKUP(E93,[1]FE!$B$67:$D$69,3,FALSE),"")</f>
        <v>gal</v>
      </c>
      <c r="G93" s="42"/>
      <c r="H93" s="42"/>
      <c r="I93" s="42">
        <v>0.5161290322580645</v>
      </c>
      <c r="J93" s="42"/>
      <c r="K93" s="42">
        <v>0.32258064516129037</v>
      </c>
      <c r="L93" s="42">
        <v>0.17204301075268819</v>
      </c>
      <c r="M93" s="42">
        <v>4.3010752688172046E-2</v>
      </c>
      <c r="N93" s="42">
        <v>0.21505376344086025</v>
      </c>
      <c r="O93" s="42">
        <v>0.38709677419354843</v>
      </c>
      <c r="P93" s="42">
        <v>0.21505376344086025</v>
      </c>
      <c r="Q93" s="42">
        <v>0.25806451612903225</v>
      </c>
      <c r="R93" s="42">
        <v>0.17204301075268819</v>
      </c>
      <c r="S93" s="18">
        <f t="shared" si="85"/>
        <v>2.301075268817204</v>
      </c>
      <c r="T93" s="18">
        <f>IFERROR(VLOOKUP(E93,FE!$B$67:$F$69,4,FALSE),"")</f>
        <v>1.5623102879999999</v>
      </c>
      <c r="U93" s="18" t="str">
        <f>IFERROR(VLOOKUP(E93,FE!$B$67:$F$69,5,FALSE),"")</f>
        <v>kgCO2/galón</v>
      </c>
      <c r="V93" s="124">
        <f t="shared" si="86"/>
        <v>3.5949935659354833E-3</v>
      </c>
      <c r="W93" s="18">
        <f t="shared" si="87"/>
        <v>9</v>
      </c>
      <c r="X93" s="18">
        <f t="shared" si="88"/>
        <v>0.25567502986857821</v>
      </c>
      <c r="Y93" s="18">
        <f t="shared" si="89"/>
        <v>0.13788805778975877</v>
      </c>
      <c r="Z93" s="18">
        <f>IF(W93&gt;1,VLOOKUP(W93,Anexo!$G$7:$H$19,2,FALSE),0)</f>
        <v>2.31</v>
      </c>
      <c r="AA93" s="30">
        <f t="shared" si="90"/>
        <v>0.41526857179869925</v>
      </c>
      <c r="AB93" s="30">
        <f>IF(W93&gt;0,VLOOKUP(E93,FE!$B$67:$C$69,2,FALSE),0)</f>
        <v>0.5</v>
      </c>
      <c r="AC93" s="30">
        <f t="shared" si="91"/>
        <v>0.64995998855601211</v>
      </c>
      <c r="AD93" s="18">
        <f t="shared" si="92"/>
        <v>5.4597087988005066E-6</v>
      </c>
    </row>
    <row r="94" spans="2:46" ht="25.5">
      <c r="C94" s="11" t="s">
        <v>92</v>
      </c>
      <c r="D94" s="11" t="s">
        <v>69</v>
      </c>
      <c r="E94" s="11" t="s">
        <v>94</v>
      </c>
      <c r="F94" s="18" t="str">
        <f>IFERROR(VLOOKUP(E94,[1]FE!$B$67:$D$69,3,FALSE),"")</f>
        <v>kg</v>
      </c>
      <c r="G94" s="42"/>
      <c r="H94" s="42"/>
      <c r="I94" s="42">
        <v>0.29770491803278692</v>
      </c>
      <c r="J94" s="42"/>
      <c r="K94" s="42"/>
      <c r="L94" s="42"/>
      <c r="M94" s="42"/>
      <c r="N94" s="42"/>
      <c r="O94" s="42">
        <v>0.22327868852459018</v>
      </c>
      <c r="P94" s="42"/>
      <c r="Q94" s="42">
        <v>0.52098360655737719</v>
      </c>
      <c r="R94" s="42"/>
      <c r="S94" s="18">
        <f t="shared" si="85"/>
        <v>1.0419672131147544</v>
      </c>
      <c r="T94" s="18">
        <f>IFERROR(VLOOKUP(E94,FE!$B$67:$F$69,4,FALSE),"")</f>
        <v>0.58960000000000001</v>
      </c>
      <c r="U94" s="18" t="str">
        <f>IFERROR(VLOOKUP(E94,FE!$B$67:$F$69,5,FALSE),"")</f>
        <v>kgCO2/kg</v>
      </c>
      <c r="V94" s="124">
        <f t="shared" si="86"/>
        <v>6.1434386885245921E-4</v>
      </c>
      <c r="W94" s="18">
        <f t="shared" si="87"/>
        <v>3</v>
      </c>
      <c r="X94" s="18">
        <f t="shared" si="88"/>
        <v>0.34732240437158479</v>
      </c>
      <c r="Y94" s="18">
        <f t="shared" si="89"/>
        <v>0.15493055143567608</v>
      </c>
      <c r="Z94" s="18">
        <f>IF(W94&gt;1,VLOOKUP(W94,Anexo!$G$7:$H$19,2,FALSE),0)</f>
        <v>4.3</v>
      </c>
      <c r="AA94" s="30">
        <f t="shared" si="90"/>
        <v>1.107419320321082</v>
      </c>
      <c r="AB94" s="30">
        <f>IF(W94&gt;0,VLOOKUP(E94,FE!$B$67:$C$69,2,FALSE),0)</f>
        <v>0.5</v>
      </c>
      <c r="AC94" s="30">
        <f t="shared" si="91"/>
        <v>1.2150627765759296</v>
      </c>
      <c r="AD94" s="18">
        <f t="shared" si="92"/>
        <v>5.5721203715215462E-7</v>
      </c>
    </row>
    <row r="95" spans="2:46" ht="25.5">
      <c r="C95" s="11" t="s">
        <v>92</v>
      </c>
      <c r="D95" s="11" t="s">
        <v>75</v>
      </c>
      <c r="E95" s="11" t="s">
        <v>93</v>
      </c>
      <c r="F95" s="18" t="str">
        <f>IFERROR(VLOOKUP(E95,[1]FE!$B$67:$D$69,3,FALSE),"")</f>
        <v>gal</v>
      </c>
      <c r="G95" s="42"/>
      <c r="H95" s="42"/>
      <c r="I95" s="42">
        <v>0.25</v>
      </c>
      <c r="J95" s="42"/>
      <c r="K95" s="42">
        <v>0.2</v>
      </c>
      <c r="L95" s="42">
        <v>0.1</v>
      </c>
      <c r="M95" s="42"/>
      <c r="N95" s="42"/>
      <c r="O95" s="42">
        <v>0.25</v>
      </c>
      <c r="P95" s="42">
        <v>0.25</v>
      </c>
      <c r="Q95" s="42">
        <v>0.05</v>
      </c>
      <c r="R95" s="42"/>
      <c r="S95" s="18">
        <f t="shared" si="85"/>
        <v>1.1000000000000001</v>
      </c>
      <c r="T95" s="18">
        <f>IFERROR(VLOOKUP(E95,FE!$B$67:$F$69,4,FALSE),"")</f>
        <v>1.5623102879999999</v>
      </c>
      <c r="U95" s="18" t="str">
        <f>IFERROR(VLOOKUP(E95,FE!$B$67:$F$69,5,FALSE),"")</f>
        <v>kgCO2/galón</v>
      </c>
      <c r="V95" s="124">
        <f t="shared" si="86"/>
        <v>1.7185413168000002E-3</v>
      </c>
      <c r="W95" s="18">
        <f t="shared" si="87"/>
        <v>6</v>
      </c>
      <c r="X95" s="18">
        <f t="shared" si="88"/>
        <v>0.18333333333333335</v>
      </c>
      <c r="Y95" s="18">
        <f t="shared" si="89"/>
        <v>8.7559503577091316E-2</v>
      </c>
      <c r="Z95" s="18">
        <f>IF(W95&gt;1,VLOOKUP(W95,Anexo!$G$7:$H$19,2,FALSE),0)</f>
        <v>2.57</v>
      </c>
      <c r="AA95" s="30">
        <f t="shared" si="90"/>
        <v>0.50109417468259043</v>
      </c>
      <c r="AB95" s="30">
        <f>IF(W95&gt;0,VLOOKUP(E95,FE!$B$67:$C$69,2,FALSE),0)</f>
        <v>0.5</v>
      </c>
      <c r="AC95" s="30">
        <f t="shared" si="91"/>
        <v>0.70788090234221346</v>
      </c>
      <c r="AD95" s="18">
        <f t="shared" si="92"/>
        <v>1.4799271829024007E-6</v>
      </c>
    </row>
    <row r="96" spans="2:46" ht="25.5">
      <c r="C96" s="11" t="s">
        <v>92</v>
      </c>
      <c r="D96" s="11" t="s">
        <v>75</v>
      </c>
      <c r="E96" s="11" t="s">
        <v>93</v>
      </c>
      <c r="F96" s="18" t="str">
        <f>IFERROR(VLOOKUP(E96,[1]FE!$B$67:$D$69,3,FALSE),"")</f>
        <v>gal</v>
      </c>
      <c r="G96" s="42"/>
      <c r="H96" s="42"/>
      <c r="I96" s="42"/>
      <c r="J96" s="42"/>
      <c r="K96" s="42"/>
      <c r="L96" s="42"/>
      <c r="M96" s="42">
        <v>4</v>
      </c>
      <c r="N96" s="42"/>
      <c r="O96" s="42"/>
      <c r="P96" s="42"/>
      <c r="Q96" s="42"/>
      <c r="R96" s="42"/>
      <c r="S96" s="18">
        <f t="shared" si="85"/>
        <v>4</v>
      </c>
      <c r="T96" s="18">
        <f>IFERROR(VLOOKUP(E96,FE!$B$67:$F$69,4,FALSE),"")</f>
        <v>1.5623102879999999</v>
      </c>
      <c r="U96" s="18" t="str">
        <f>IFERROR(VLOOKUP(E96,FE!$B$67:$F$69,5,FALSE),"")</f>
        <v>kgCO2/galón</v>
      </c>
      <c r="V96" s="124">
        <f t="shared" si="86"/>
        <v>6.2492411519999994E-3</v>
      </c>
      <c r="W96" s="18">
        <f t="shared" si="87"/>
        <v>1</v>
      </c>
      <c r="X96" s="18">
        <f t="shared" si="88"/>
        <v>0</v>
      </c>
      <c r="Y96" s="18">
        <f t="shared" si="89"/>
        <v>0</v>
      </c>
      <c r="Z96" s="18">
        <f>IF(W96&gt;1,VLOOKUP(W96,Anexo!$G$7:$H$19,2,FALSE),0)</f>
        <v>0</v>
      </c>
      <c r="AA96" s="30">
        <f t="shared" si="90"/>
        <v>0.5</v>
      </c>
      <c r="AB96" s="30">
        <f>IF(W96&gt;0,VLOOKUP(E96,FE!$B$67:$C$69,2,FALSE),0)</f>
        <v>0.5</v>
      </c>
      <c r="AC96" s="30">
        <f t="shared" si="91"/>
        <v>0.70710678118654757</v>
      </c>
      <c r="AD96" s="18">
        <f t="shared" si="92"/>
        <v>1.9526507487925143E-5</v>
      </c>
    </row>
    <row r="97" spans="3:30" ht="25.5">
      <c r="C97" s="11" t="s">
        <v>92</v>
      </c>
      <c r="D97" s="11" t="s">
        <v>70</v>
      </c>
      <c r="E97" s="11" t="s">
        <v>93</v>
      </c>
      <c r="F97" s="18" t="str">
        <f>IFERROR(VLOOKUP(E97,[1]FE!$B$67:$D$69,3,FALSE),"")</f>
        <v>gal</v>
      </c>
      <c r="G97" s="42"/>
      <c r="H97" s="42"/>
      <c r="I97" s="42">
        <v>2.4193548387096775</v>
      </c>
      <c r="J97" s="42"/>
      <c r="K97" s="42">
        <v>1.5120967741935485</v>
      </c>
      <c r="L97" s="42">
        <v>0.80645161290322587</v>
      </c>
      <c r="M97" s="42">
        <v>0.20161290322580647</v>
      </c>
      <c r="N97" s="42">
        <v>1.0080645161290323</v>
      </c>
      <c r="O97" s="42">
        <v>1.8145161290322582</v>
      </c>
      <c r="P97" s="42">
        <v>1.0080645161290323</v>
      </c>
      <c r="Q97" s="42">
        <v>1.2096774193548387</v>
      </c>
      <c r="R97" s="42">
        <v>0.80645161290322587</v>
      </c>
      <c r="S97" s="18">
        <f t="shared" si="85"/>
        <v>10.786290322580644</v>
      </c>
      <c r="T97" s="18">
        <f>IFERROR(VLOOKUP(E97,FE!$B$67:$F$69,4,FALSE),"")</f>
        <v>1.5623102879999999</v>
      </c>
      <c r="U97" s="18" t="str">
        <f>IFERROR(VLOOKUP(E97,FE!$B$67:$F$69,5,FALSE),"")</f>
        <v>kgCO2/galón</v>
      </c>
      <c r="V97" s="124">
        <f t="shared" si="86"/>
        <v>1.6851532340322578E-2</v>
      </c>
      <c r="W97" s="18">
        <f t="shared" si="87"/>
        <v>9</v>
      </c>
      <c r="X97" s="18">
        <f t="shared" si="88"/>
        <v>1.1984767025089604</v>
      </c>
      <c r="Y97" s="18">
        <f t="shared" si="89"/>
        <v>0.64635027088949437</v>
      </c>
      <c r="Z97" s="18">
        <f>IF(W97&gt;1,VLOOKUP(W97,Anexo!$G$7:$H$19,2,FALSE),0)</f>
        <v>2.31</v>
      </c>
      <c r="AA97" s="30">
        <f t="shared" si="90"/>
        <v>0.41526857179869925</v>
      </c>
      <c r="AB97" s="30">
        <f>IF(W97&gt;0,VLOOKUP(E97,FE!$B$67:$C$69,2,FALSE),0)</f>
        <v>0.5</v>
      </c>
      <c r="AC97" s="30">
        <f t="shared" si="91"/>
        <v>0.64995998855601211</v>
      </c>
      <c r="AD97" s="18">
        <f t="shared" si="92"/>
        <v>1.1996430466114393E-4</v>
      </c>
    </row>
    <row r="98" spans="3:30" ht="25.5">
      <c r="C98" s="11" t="s">
        <v>92</v>
      </c>
      <c r="D98" s="11" t="s">
        <v>70</v>
      </c>
      <c r="E98" s="11" t="s">
        <v>94</v>
      </c>
      <c r="F98" s="18" t="str">
        <f>IFERROR(VLOOKUP(E98,[1]FE!$B$67:$D$69,3,FALSE),"")</f>
        <v>kg</v>
      </c>
      <c r="G98" s="42"/>
      <c r="H98" s="42"/>
      <c r="I98" s="42">
        <v>0.89311475409836072</v>
      </c>
      <c r="J98" s="42"/>
      <c r="K98" s="42"/>
      <c r="L98" s="42"/>
      <c r="M98" s="42"/>
      <c r="N98" s="42"/>
      <c r="O98" s="42">
        <v>0.66983606557377051</v>
      </c>
      <c r="P98" s="42"/>
      <c r="Q98" s="42">
        <v>1.5629508196721313</v>
      </c>
      <c r="R98" s="42"/>
      <c r="S98" s="18">
        <f t="shared" si="85"/>
        <v>3.1259016393442627</v>
      </c>
      <c r="T98" s="18">
        <f>IFERROR(VLOOKUP(E98,FE!$B$67:$F$69,4,FALSE),"")</f>
        <v>0.58960000000000001</v>
      </c>
      <c r="U98" s="18" t="str">
        <f>IFERROR(VLOOKUP(E98,FE!$B$67:$F$69,5,FALSE),"")</f>
        <v>kgCO2/kg</v>
      </c>
      <c r="V98" s="124">
        <f t="shared" si="86"/>
        <v>1.8430316065573772E-3</v>
      </c>
      <c r="W98" s="18">
        <f t="shared" si="87"/>
        <v>3</v>
      </c>
      <c r="X98" s="18">
        <f t="shared" si="88"/>
        <v>1.0419672131147542</v>
      </c>
      <c r="Y98" s="18">
        <f t="shared" si="89"/>
        <v>0.46479165430702818</v>
      </c>
      <c r="Z98" s="18">
        <f>IF(W98&gt;1,VLOOKUP(W98,Anexo!$G$7:$H$19,2,FALSE),0)</f>
        <v>4.3</v>
      </c>
      <c r="AA98" s="30">
        <f t="shared" si="90"/>
        <v>1.107419320321082</v>
      </c>
      <c r="AB98" s="30">
        <f>IF(W98&gt;0,VLOOKUP(E98,FE!$B$67:$C$69,2,FALSE),0)</f>
        <v>0.5</v>
      </c>
      <c r="AC98" s="30">
        <f t="shared" si="91"/>
        <v>1.2150627765759296</v>
      </c>
      <c r="AD98" s="18">
        <f t="shared" si="92"/>
        <v>5.0149083343693894E-6</v>
      </c>
    </row>
    <row r="99" spans="3:30" ht="25.5">
      <c r="C99" s="11" t="s">
        <v>92</v>
      </c>
      <c r="D99" s="11" t="s">
        <v>71</v>
      </c>
      <c r="E99" s="11" t="s">
        <v>93</v>
      </c>
      <c r="F99" s="18" t="str">
        <f>IFERROR(VLOOKUP(E99,[1]FE!$B$67:$D$69,3,FALSE),"")</f>
        <v>gal</v>
      </c>
      <c r="G99" s="42"/>
      <c r="H99" s="42"/>
      <c r="I99" s="42">
        <v>6.25E-2</v>
      </c>
      <c r="J99" s="42"/>
      <c r="K99" s="42">
        <v>0.05</v>
      </c>
      <c r="L99" s="42">
        <v>2.5000000000000001E-2</v>
      </c>
      <c r="M99" s="42"/>
      <c r="N99" s="42"/>
      <c r="O99" s="42">
        <v>6.25E-2</v>
      </c>
      <c r="P99" s="42">
        <v>6.25E-2</v>
      </c>
      <c r="Q99" s="42">
        <v>1.2500000000000001E-2</v>
      </c>
      <c r="R99" s="42"/>
      <c r="S99" s="18">
        <f t="shared" si="85"/>
        <v>0.27500000000000002</v>
      </c>
      <c r="T99" s="18">
        <f>IFERROR(VLOOKUP(E99,FE!$B$67:$F$69,4,FALSE),"")</f>
        <v>1.5623102879999999</v>
      </c>
      <c r="U99" s="18" t="str">
        <f>IFERROR(VLOOKUP(E99,FE!$B$67:$F$69,5,FALSE),"")</f>
        <v>kgCO2/galón</v>
      </c>
      <c r="V99" s="124">
        <f t="shared" si="86"/>
        <v>4.2963532920000004E-4</v>
      </c>
      <c r="W99" s="18">
        <f t="shared" si="87"/>
        <v>6</v>
      </c>
      <c r="X99" s="18">
        <f t="shared" si="88"/>
        <v>4.5833333333333337E-2</v>
      </c>
      <c r="Y99" s="18">
        <f t="shared" si="89"/>
        <v>2.1889875894272829E-2</v>
      </c>
      <c r="Z99" s="18">
        <f>IF(W99&gt;1,VLOOKUP(W99,Anexo!$G$7:$H$19,2,FALSE),0)</f>
        <v>2.57</v>
      </c>
      <c r="AA99" s="30">
        <f t="shared" si="90"/>
        <v>0.50109417468259043</v>
      </c>
      <c r="AB99" s="30">
        <f>IF(W99&gt;0,VLOOKUP(E99,FE!$B$67:$C$69,2,FALSE),0)</f>
        <v>0.5</v>
      </c>
      <c r="AC99" s="30">
        <f t="shared" si="91"/>
        <v>0.70788090234221346</v>
      </c>
      <c r="AD99" s="18">
        <f t="shared" si="92"/>
        <v>9.2495448931400042E-8</v>
      </c>
    </row>
    <row r="100" spans="3:30" ht="25.5">
      <c r="C100" s="11" t="s">
        <v>92</v>
      </c>
      <c r="D100" s="11" t="s">
        <v>95</v>
      </c>
      <c r="E100" s="11" t="s">
        <v>93</v>
      </c>
      <c r="F100" s="18" t="str">
        <f>IFERROR(VLOOKUP(E100,[1]FE!$B$67:$D$69,3,FALSE),"")</f>
        <v>gal</v>
      </c>
      <c r="G100" s="42"/>
      <c r="H100" s="42"/>
      <c r="I100" s="42">
        <v>0.1875</v>
      </c>
      <c r="J100" s="42"/>
      <c r="K100" s="42">
        <v>0.15</v>
      </c>
      <c r="L100" s="42">
        <v>7.4999999999999997E-2</v>
      </c>
      <c r="M100" s="42"/>
      <c r="N100" s="42"/>
      <c r="O100" s="42">
        <v>0.1875</v>
      </c>
      <c r="P100" s="42">
        <v>0.1875</v>
      </c>
      <c r="Q100" s="42">
        <v>3.7499999999999999E-2</v>
      </c>
      <c r="R100" s="42"/>
      <c r="S100" s="18">
        <f t="shared" si="85"/>
        <v>0.82500000000000007</v>
      </c>
      <c r="T100" s="18">
        <f>IFERROR(VLOOKUP(E100,FE!$B$67:$F$69,4,FALSE),"")</f>
        <v>1.5623102879999999</v>
      </c>
      <c r="U100" s="18" t="str">
        <f>IFERROR(VLOOKUP(E100,FE!$B$67:$F$69,5,FALSE),"")</f>
        <v>kgCO2/galón</v>
      </c>
      <c r="V100" s="124">
        <f t="shared" si="86"/>
        <v>1.2889059876E-3</v>
      </c>
      <c r="W100" s="18">
        <f t="shared" si="87"/>
        <v>6</v>
      </c>
      <c r="X100" s="18">
        <f t="shared" si="88"/>
        <v>0.13750000000000001</v>
      </c>
      <c r="Y100" s="18">
        <f t="shared" si="89"/>
        <v>6.5669627682818463E-2</v>
      </c>
      <c r="Z100" s="18">
        <f>IF(W100&gt;1,VLOOKUP(W100,Anexo!$G$7:$H$19,2,FALSE),0)</f>
        <v>2.57</v>
      </c>
      <c r="AA100" s="30">
        <f t="shared" si="90"/>
        <v>0.50109417468259032</v>
      </c>
      <c r="AB100" s="30">
        <f>IF(W100&gt;0,VLOOKUP(E100,FE!$B$67:$C$69,2,FALSE),0)</f>
        <v>0.5</v>
      </c>
      <c r="AC100" s="30">
        <f t="shared" si="91"/>
        <v>0.70788090234221346</v>
      </c>
      <c r="AD100" s="18">
        <f t="shared" si="92"/>
        <v>8.3245904038260038E-7</v>
      </c>
    </row>
    <row r="101" spans="3:30" ht="25.5">
      <c r="C101" s="11" t="s">
        <v>92</v>
      </c>
      <c r="D101" s="11" t="s">
        <v>72</v>
      </c>
      <c r="E101" s="11" t="s">
        <v>93</v>
      </c>
      <c r="F101" s="18" t="str">
        <f>IFERROR(VLOOKUP(E101,[1]FE!$B$67:$D$69,3,FALSE),"")</f>
        <v>gal</v>
      </c>
      <c r="G101" s="42"/>
      <c r="H101" s="42"/>
      <c r="I101" s="42">
        <v>0.125</v>
      </c>
      <c r="J101" s="42"/>
      <c r="K101" s="42">
        <v>0.1</v>
      </c>
      <c r="L101" s="42">
        <v>0.05</v>
      </c>
      <c r="M101" s="42"/>
      <c r="N101" s="42"/>
      <c r="O101" s="42">
        <v>0.125</v>
      </c>
      <c r="P101" s="42">
        <v>0.125</v>
      </c>
      <c r="Q101" s="42">
        <v>2.5000000000000001E-2</v>
      </c>
      <c r="R101" s="42"/>
      <c r="S101" s="18">
        <f t="shared" si="85"/>
        <v>0.55000000000000004</v>
      </c>
      <c r="T101" s="18">
        <f>IFERROR(VLOOKUP(E101,FE!$B$67:$F$69,4,FALSE),"")</f>
        <v>1.5623102879999999</v>
      </c>
      <c r="U101" s="18" t="str">
        <f>IFERROR(VLOOKUP(E101,FE!$B$67:$F$69,5,FALSE),"")</f>
        <v>kgCO2/galón</v>
      </c>
      <c r="V101" s="124">
        <f t="shared" si="86"/>
        <v>8.5927065840000008E-4</v>
      </c>
      <c r="W101" s="18">
        <f t="shared" si="87"/>
        <v>6</v>
      </c>
      <c r="X101" s="18">
        <f t="shared" si="88"/>
        <v>9.1666666666666674E-2</v>
      </c>
      <c r="Y101" s="18">
        <f t="shared" si="89"/>
        <v>4.3779751788545658E-2</v>
      </c>
      <c r="Z101" s="18">
        <f>IF(W101&gt;1,VLOOKUP(W101,Anexo!$G$7:$H$19,2,FALSE),0)</f>
        <v>2.57</v>
      </c>
      <c r="AA101" s="30">
        <f t="shared" si="90"/>
        <v>0.50109417468259043</v>
      </c>
      <c r="AB101" s="30">
        <f>IF(W101&gt;0,VLOOKUP(E101,FE!$B$67:$C$69,2,FALSE),0)</f>
        <v>0.5</v>
      </c>
      <c r="AC101" s="30">
        <f t="shared" si="91"/>
        <v>0.70788090234221346</v>
      </c>
      <c r="AD101" s="18">
        <f t="shared" si="92"/>
        <v>3.6998179572560017E-7</v>
      </c>
    </row>
    <row r="102" spans="3:30" ht="25.5">
      <c r="C102" s="11" t="s">
        <v>92</v>
      </c>
      <c r="D102" s="11" t="s">
        <v>72</v>
      </c>
      <c r="E102" s="11" t="s">
        <v>93</v>
      </c>
      <c r="F102" s="18" t="str">
        <f>IFERROR(VLOOKUP(E102,[1]FE!$B$67:$D$69,3,FALSE),"")</f>
        <v>gal</v>
      </c>
      <c r="G102" s="42"/>
      <c r="H102" s="42"/>
      <c r="I102" s="42">
        <v>0.125</v>
      </c>
      <c r="J102" s="42"/>
      <c r="K102" s="42">
        <v>0.1</v>
      </c>
      <c r="L102" s="42">
        <v>0.05</v>
      </c>
      <c r="M102" s="42"/>
      <c r="N102" s="42"/>
      <c r="O102" s="42">
        <v>0.125</v>
      </c>
      <c r="P102" s="42">
        <v>0.125</v>
      </c>
      <c r="Q102" s="42">
        <v>2.5000000000000001E-2</v>
      </c>
      <c r="R102" s="42"/>
      <c r="S102" s="18">
        <f t="shared" si="85"/>
        <v>0.55000000000000004</v>
      </c>
      <c r="T102" s="18">
        <f>IFERROR(VLOOKUP(E102,FE!$B$67:$F$69,4,FALSE),"")</f>
        <v>1.5623102879999999</v>
      </c>
      <c r="U102" s="18" t="str">
        <f>IFERROR(VLOOKUP(E102,FE!$B$67:$F$69,5,FALSE),"")</f>
        <v>kgCO2/galón</v>
      </c>
      <c r="V102" s="124">
        <f t="shared" si="86"/>
        <v>8.5927065840000008E-4</v>
      </c>
      <c r="W102" s="18">
        <f t="shared" si="87"/>
        <v>6</v>
      </c>
      <c r="X102" s="18">
        <f t="shared" si="88"/>
        <v>9.1666666666666674E-2</v>
      </c>
      <c r="Y102" s="18">
        <f t="shared" si="89"/>
        <v>4.3779751788545658E-2</v>
      </c>
      <c r="Z102" s="18">
        <f>IF(W102&gt;1,VLOOKUP(W102,Anexo!$G$7:$H$19,2,FALSE),0)</f>
        <v>2.57</v>
      </c>
      <c r="AA102" s="30">
        <f t="shared" si="90"/>
        <v>0.50109417468259043</v>
      </c>
      <c r="AB102" s="30">
        <f>IF(W102&gt;0,VLOOKUP(E102,FE!$B$67:$C$69,2,FALSE),0)</f>
        <v>0.5</v>
      </c>
      <c r="AC102" s="30">
        <f t="shared" si="91"/>
        <v>0.70788090234221346</v>
      </c>
      <c r="AD102" s="18">
        <f t="shared" si="92"/>
        <v>3.6998179572560017E-7</v>
      </c>
    </row>
    <row r="103" spans="3:30">
      <c r="C103" s="11" t="s">
        <v>76</v>
      </c>
      <c r="D103" s="11" t="s">
        <v>70</v>
      </c>
      <c r="E103" s="11" t="s">
        <v>93</v>
      </c>
      <c r="F103" s="18" t="str">
        <f>IFERROR(VLOOKUP(E103,[1]FE!$B$67:$D$69,3,FALSE),"")</f>
        <v>gal</v>
      </c>
      <c r="G103" s="42"/>
      <c r="H103" s="42"/>
      <c r="I103" s="42">
        <v>0.80645161290322598</v>
      </c>
      <c r="J103" s="42"/>
      <c r="K103" s="42">
        <v>0.50403225806451624</v>
      </c>
      <c r="L103" s="42">
        <v>0.26881720430107531</v>
      </c>
      <c r="M103" s="42">
        <v>6.7204301075268827E-2</v>
      </c>
      <c r="N103" s="42">
        <v>0.33602150537634412</v>
      </c>
      <c r="O103" s="42">
        <v>0.60483870967741948</v>
      </c>
      <c r="P103" s="42">
        <v>0.33602150537634412</v>
      </c>
      <c r="Q103" s="42">
        <v>0.40322580645161299</v>
      </c>
      <c r="R103" s="42">
        <v>0.26881720430107531</v>
      </c>
      <c r="S103" s="18">
        <f t="shared" si="85"/>
        <v>3.5954301075268824</v>
      </c>
      <c r="T103" s="18">
        <f>IFERROR(VLOOKUP(E103,FE!$B$67:$F$69,4,FALSE),"")</f>
        <v>1.5623102879999999</v>
      </c>
      <c r="U103" s="18" t="str">
        <f>IFERROR(VLOOKUP(E103,FE!$B$67:$F$69,5,FALSE),"")</f>
        <v>kgCO2/galón</v>
      </c>
      <c r="V103" s="124">
        <f t="shared" si="86"/>
        <v>5.6171774467741941E-3</v>
      </c>
      <c r="W103" s="18">
        <f t="shared" si="87"/>
        <v>9</v>
      </c>
      <c r="X103" s="18">
        <f t="shared" si="88"/>
        <v>0.39949223416965363</v>
      </c>
      <c r="Y103" s="18">
        <f t="shared" si="89"/>
        <v>0.21545009029649814</v>
      </c>
      <c r="Z103" s="18">
        <f>IF(W103&gt;1,VLOOKUP(W103,Anexo!$G$7:$H$19,2,FALSE),0)</f>
        <v>2.31</v>
      </c>
      <c r="AA103" s="30">
        <f t="shared" si="90"/>
        <v>0.41526857179869925</v>
      </c>
      <c r="AB103" s="30">
        <f>IF(W103&gt;0,VLOOKUP(E103,FE!$B$67:$C$69,2,FALSE),0)</f>
        <v>0.5</v>
      </c>
      <c r="AC103" s="30">
        <f t="shared" si="91"/>
        <v>0.64995998855601211</v>
      </c>
      <c r="AD103" s="18">
        <f t="shared" si="92"/>
        <v>1.3329367184571555E-5</v>
      </c>
    </row>
    <row r="104" spans="3:30">
      <c r="C104" s="11" t="s">
        <v>76</v>
      </c>
      <c r="D104" s="11" t="s">
        <v>70</v>
      </c>
      <c r="E104" s="11" t="s">
        <v>94</v>
      </c>
      <c r="F104" s="18" t="str">
        <f>IFERROR(VLOOKUP(E104,[1]FE!$B$67:$D$69,3,FALSE),"")</f>
        <v>kg</v>
      </c>
      <c r="G104" s="42"/>
      <c r="H104" s="42"/>
      <c r="I104" s="42">
        <v>0.29770491803278692</v>
      </c>
      <c r="J104" s="42"/>
      <c r="K104" s="42"/>
      <c r="L104" s="42"/>
      <c r="M104" s="42"/>
      <c r="N104" s="42"/>
      <c r="O104" s="42">
        <v>0.22327868852459018</v>
      </c>
      <c r="P104" s="42"/>
      <c r="Q104" s="42">
        <v>0.52098360655737719</v>
      </c>
      <c r="R104" s="42"/>
      <c r="S104" s="18">
        <f t="shared" si="85"/>
        <v>1.0419672131147544</v>
      </c>
      <c r="T104" s="18">
        <f>IFERROR(VLOOKUP(E104,FE!$B$67:$F$69,4,FALSE),"")</f>
        <v>0.58960000000000001</v>
      </c>
      <c r="U104" s="18" t="str">
        <f>IFERROR(VLOOKUP(E104,FE!$B$67:$F$69,5,FALSE),"")</f>
        <v>kgCO2/kg</v>
      </c>
      <c r="V104" s="124">
        <f t="shared" si="86"/>
        <v>6.1434386885245921E-4</v>
      </c>
      <c r="W104" s="18">
        <f t="shared" si="87"/>
        <v>3</v>
      </c>
      <c r="X104" s="18">
        <f t="shared" si="88"/>
        <v>0.34732240437158479</v>
      </c>
      <c r="Y104" s="18">
        <f t="shared" si="89"/>
        <v>0.15493055143567608</v>
      </c>
      <c r="Z104" s="18">
        <f>IF(W104&gt;1,VLOOKUP(W104,Anexo!$G$7:$H$19,2,FALSE),0)</f>
        <v>4.3</v>
      </c>
      <c r="AA104" s="30">
        <f t="shared" si="90"/>
        <v>1.107419320321082</v>
      </c>
      <c r="AB104" s="30">
        <f>IF(W104&gt;0,VLOOKUP(E104,FE!$B$67:$C$69,2,FALSE),0)</f>
        <v>0.5</v>
      </c>
      <c r="AC104" s="30">
        <f t="shared" si="91"/>
        <v>1.2150627765759296</v>
      </c>
      <c r="AD104" s="18">
        <f t="shared" si="92"/>
        <v>5.5721203715215462E-7</v>
      </c>
    </row>
    <row r="105" spans="3:30" ht="25.5">
      <c r="C105" s="11" t="s">
        <v>96</v>
      </c>
      <c r="D105" s="11" t="s">
        <v>70</v>
      </c>
      <c r="E105" s="11" t="s">
        <v>93</v>
      </c>
      <c r="F105" s="18" t="str">
        <f>IFERROR(VLOOKUP(E105,[1]FE!$B$67:$D$69,3,FALSE),"")</f>
        <v>gal</v>
      </c>
      <c r="G105" s="42"/>
      <c r="H105" s="42"/>
      <c r="I105" s="42">
        <v>0.80645161290322598</v>
      </c>
      <c r="J105" s="42"/>
      <c r="K105" s="42">
        <v>0.50403225806451624</v>
      </c>
      <c r="L105" s="42">
        <v>0.26881720430107531</v>
      </c>
      <c r="M105" s="42">
        <v>6.7204301075268827E-2</v>
      </c>
      <c r="N105" s="42">
        <v>0.33602150537634412</v>
      </c>
      <c r="O105" s="42">
        <v>0.60483870967741948</v>
      </c>
      <c r="P105" s="42">
        <v>0.33602150537634412</v>
      </c>
      <c r="Q105" s="42">
        <v>0.40322580645161299</v>
      </c>
      <c r="R105" s="42">
        <v>0.26881720430107531</v>
      </c>
      <c r="S105" s="18">
        <f t="shared" si="85"/>
        <v>3.5954301075268824</v>
      </c>
      <c r="T105" s="18">
        <f>IFERROR(VLOOKUP(E105,FE!$B$67:$F$69,4,FALSE),"")</f>
        <v>1.5623102879999999</v>
      </c>
      <c r="U105" s="18" t="str">
        <f>IFERROR(VLOOKUP(E105,FE!$B$67:$F$69,5,FALSE),"")</f>
        <v>kgCO2/galón</v>
      </c>
      <c r="V105" s="124">
        <f t="shared" si="86"/>
        <v>5.6171774467741941E-3</v>
      </c>
      <c r="W105" s="18">
        <f t="shared" si="87"/>
        <v>9</v>
      </c>
      <c r="X105" s="18">
        <f t="shared" si="88"/>
        <v>0.39949223416965363</v>
      </c>
      <c r="Y105" s="18">
        <f t="shared" si="89"/>
        <v>0.21545009029649814</v>
      </c>
      <c r="Z105" s="18">
        <f>IF(W105&gt;1,VLOOKUP(W105,Anexo!$G$7:$H$19,2,FALSE),0)</f>
        <v>2.31</v>
      </c>
      <c r="AA105" s="30">
        <f t="shared" si="90"/>
        <v>0.41526857179869925</v>
      </c>
      <c r="AB105" s="30">
        <f>IF(W105&gt;0,VLOOKUP(E105,FE!$B$67:$C$69,2,FALSE),0)</f>
        <v>0.5</v>
      </c>
      <c r="AC105" s="30">
        <f t="shared" si="91"/>
        <v>0.64995998855601211</v>
      </c>
      <c r="AD105" s="18">
        <f t="shared" si="92"/>
        <v>1.3329367184571555E-5</v>
      </c>
    </row>
    <row r="106" spans="3:30" ht="25.5">
      <c r="C106" s="11" t="s">
        <v>96</v>
      </c>
      <c r="D106" s="11" t="s">
        <v>70</v>
      </c>
      <c r="E106" s="11" t="s">
        <v>94</v>
      </c>
      <c r="F106" s="18" t="str">
        <f>IFERROR(VLOOKUP(E106,[1]FE!$B$67:$D$69,3,FALSE),"")</f>
        <v>kg</v>
      </c>
      <c r="G106" s="42"/>
      <c r="H106" s="42"/>
      <c r="I106" s="42">
        <v>0.29770491803278692</v>
      </c>
      <c r="J106" s="42"/>
      <c r="K106" s="42"/>
      <c r="L106" s="42"/>
      <c r="M106" s="42"/>
      <c r="N106" s="42"/>
      <c r="O106" s="42">
        <v>0.22327868852459018</v>
      </c>
      <c r="P106" s="42"/>
      <c r="Q106" s="42">
        <v>0.52098360655737719</v>
      </c>
      <c r="R106" s="42"/>
      <c r="S106" s="18">
        <f t="shared" si="85"/>
        <v>1.0419672131147544</v>
      </c>
      <c r="T106" s="18">
        <f>IFERROR(VLOOKUP(E106,FE!$B$67:$F$69,4,FALSE),"")</f>
        <v>0.58960000000000001</v>
      </c>
      <c r="U106" s="18" t="str">
        <f>IFERROR(VLOOKUP(E106,FE!$B$67:$F$69,5,FALSE),"")</f>
        <v>kgCO2/kg</v>
      </c>
      <c r="V106" s="124">
        <f t="shared" si="86"/>
        <v>6.1434386885245921E-4</v>
      </c>
      <c r="W106" s="18">
        <f t="shared" si="87"/>
        <v>3</v>
      </c>
      <c r="X106" s="18">
        <f t="shared" si="88"/>
        <v>0.34732240437158479</v>
      </c>
      <c r="Y106" s="18">
        <f t="shared" si="89"/>
        <v>0.15493055143567608</v>
      </c>
      <c r="Z106" s="18">
        <f>IF(W106&gt;1,VLOOKUP(W106,Anexo!$G$7:$H$19,2,FALSE),0)</f>
        <v>4.3</v>
      </c>
      <c r="AA106" s="30">
        <f t="shared" si="90"/>
        <v>1.107419320321082</v>
      </c>
      <c r="AB106" s="30">
        <f>IF(W106&gt;0,VLOOKUP(E106,FE!$B$67:$C$69,2,FALSE),0)</f>
        <v>0.5</v>
      </c>
      <c r="AC106" s="30">
        <f t="shared" si="91"/>
        <v>1.2150627765759296</v>
      </c>
      <c r="AD106" s="18">
        <f t="shared" si="92"/>
        <v>5.5721203715215462E-7</v>
      </c>
    </row>
    <row r="107" spans="3:30" ht="25.5">
      <c r="C107" s="11" t="s">
        <v>96</v>
      </c>
      <c r="D107" s="11" t="s">
        <v>72</v>
      </c>
      <c r="E107" s="11" t="s">
        <v>93</v>
      </c>
      <c r="F107" s="18" t="str">
        <f>IFERROR(VLOOKUP(E107,[1]FE!$B$67:$D$69,3,FALSE),"")</f>
        <v>gal</v>
      </c>
      <c r="G107" s="42"/>
      <c r="H107" s="42"/>
      <c r="I107" s="42">
        <v>0.25</v>
      </c>
      <c r="J107" s="42"/>
      <c r="K107" s="42">
        <v>0.2</v>
      </c>
      <c r="L107" s="42">
        <v>0.1</v>
      </c>
      <c r="M107" s="42"/>
      <c r="N107" s="42"/>
      <c r="O107" s="42">
        <v>0.25</v>
      </c>
      <c r="P107" s="42">
        <v>0.25</v>
      </c>
      <c r="Q107" s="42">
        <v>0.05</v>
      </c>
      <c r="R107" s="42"/>
      <c r="S107" s="18">
        <f t="shared" si="85"/>
        <v>1.1000000000000001</v>
      </c>
      <c r="T107" s="18">
        <f>IFERROR(VLOOKUP(E107,FE!$B$67:$F$69,4,FALSE),"")</f>
        <v>1.5623102879999999</v>
      </c>
      <c r="U107" s="18" t="str">
        <f>IFERROR(VLOOKUP(E107,FE!$B$67:$F$69,5,FALSE),"")</f>
        <v>kgCO2/galón</v>
      </c>
      <c r="V107" s="124">
        <f t="shared" si="86"/>
        <v>1.7185413168000002E-3</v>
      </c>
      <c r="W107" s="18">
        <f t="shared" si="87"/>
        <v>6</v>
      </c>
      <c r="X107" s="18">
        <f t="shared" si="88"/>
        <v>0.18333333333333335</v>
      </c>
      <c r="Y107" s="18">
        <f t="shared" si="89"/>
        <v>8.7559503577091316E-2</v>
      </c>
      <c r="Z107" s="18">
        <f>IF(W107&gt;1,VLOOKUP(W107,Anexo!$G$7:$H$19,2,FALSE),0)</f>
        <v>2.57</v>
      </c>
      <c r="AA107" s="30">
        <f t="shared" si="90"/>
        <v>0.50109417468259043</v>
      </c>
      <c r="AB107" s="30">
        <f>IF(W107&gt;0,VLOOKUP(E107,FE!$B$67:$C$69,2,FALSE),0)</f>
        <v>0.5</v>
      </c>
      <c r="AC107" s="30">
        <f t="shared" si="91"/>
        <v>0.70788090234221346</v>
      </c>
      <c r="AD107" s="18">
        <f t="shared" si="92"/>
        <v>1.4799271829024007E-6</v>
      </c>
    </row>
    <row r="108" spans="3:30" ht="25.5">
      <c r="C108" s="11" t="s">
        <v>96</v>
      </c>
      <c r="D108" s="11" t="s">
        <v>78</v>
      </c>
      <c r="E108" s="11" t="s">
        <v>93</v>
      </c>
      <c r="F108" s="18" t="str">
        <f>IFERROR(VLOOKUP(E108,[1]FE!$B$67:$D$69,3,FALSE),"")</f>
        <v>gal</v>
      </c>
      <c r="G108" s="42"/>
      <c r="H108" s="42"/>
      <c r="I108" s="42">
        <v>0.80645161290322598</v>
      </c>
      <c r="J108" s="42"/>
      <c r="K108" s="42">
        <v>0.50403225806451624</v>
      </c>
      <c r="L108" s="42">
        <v>0.26881720430107531</v>
      </c>
      <c r="M108" s="42">
        <v>6.7204301075268827E-2</v>
      </c>
      <c r="N108" s="42">
        <v>0.33602150537634412</v>
      </c>
      <c r="O108" s="42">
        <v>0.60483870967741948</v>
      </c>
      <c r="P108" s="42">
        <v>0.33602150537634412</v>
      </c>
      <c r="Q108" s="42">
        <v>0.40322580645161299</v>
      </c>
      <c r="R108" s="42">
        <v>0.26881720430107531</v>
      </c>
      <c r="S108" s="18">
        <f t="shared" si="85"/>
        <v>3.5954301075268824</v>
      </c>
      <c r="T108" s="18">
        <f>IFERROR(VLOOKUP(E108,FE!$B$67:$F$69,4,FALSE),"")</f>
        <v>1.5623102879999999</v>
      </c>
      <c r="U108" s="18" t="str">
        <f>IFERROR(VLOOKUP(E108,FE!$B$67:$F$69,5,FALSE),"")</f>
        <v>kgCO2/galón</v>
      </c>
      <c r="V108" s="124">
        <f t="shared" si="86"/>
        <v>5.6171774467741941E-3</v>
      </c>
      <c r="W108" s="18">
        <f t="shared" si="87"/>
        <v>9</v>
      </c>
      <c r="X108" s="18">
        <f t="shared" si="88"/>
        <v>0.39949223416965363</v>
      </c>
      <c r="Y108" s="18">
        <f t="shared" si="89"/>
        <v>0.21545009029649814</v>
      </c>
      <c r="Z108" s="18">
        <f>IF(W108&gt;1,VLOOKUP(W108,Anexo!$G$7:$H$19,2,FALSE),0)</f>
        <v>2.31</v>
      </c>
      <c r="AA108" s="30">
        <f t="shared" si="90"/>
        <v>0.41526857179869925</v>
      </c>
      <c r="AB108" s="30">
        <f>IF(W108&gt;0,VLOOKUP(E108,FE!$B$67:$C$69,2,FALSE),0)</f>
        <v>0.5</v>
      </c>
      <c r="AC108" s="30">
        <f t="shared" si="91"/>
        <v>0.64995998855601211</v>
      </c>
      <c r="AD108" s="18">
        <f t="shared" si="92"/>
        <v>1.3329367184571555E-5</v>
      </c>
    </row>
    <row r="109" spans="3:30" ht="25.5">
      <c r="C109" s="11" t="s">
        <v>96</v>
      </c>
      <c r="D109" s="11" t="s">
        <v>78</v>
      </c>
      <c r="E109" s="11" t="s">
        <v>93</v>
      </c>
      <c r="F109" s="18" t="str">
        <f>IFERROR(VLOOKUP(E109,[1]FE!$B$67:$D$69,3,FALSE),"")</f>
        <v>gal</v>
      </c>
      <c r="G109" s="42"/>
      <c r="H109" s="42"/>
      <c r="I109" s="42">
        <v>0.25</v>
      </c>
      <c r="J109" s="42"/>
      <c r="K109" s="42">
        <v>0.2</v>
      </c>
      <c r="L109" s="42">
        <v>0.1</v>
      </c>
      <c r="M109" s="42"/>
      <c r="N109" s="42"/>
      <c r="O109" s="42">
        <v>0.25</v>
      </c>
      <c r="P109" s="42">
        <v>0.25</v>
      </c>
      <c r="Q109" s="42">
        <v>0.05</v>
      </c>
      <c r="R109" s="42"/>
      <c r="S109" s="18">
        <f t="shared" si="85"/>
        <v>1.1000000000000001</v>
      </c>
      <c r="T109" s="18">
        <f>IFERROR(VLOOKUP(E109,FE!$B$67:$F$69,4,FALSE),"")</f>
        <v>1.5623102879999999</v>
      </c>
      <c r="U109" s="18" t="str">
        <f>IFERROR(VLOOKUP(E109,FE!$B$67:$F$69,5,FALSE),"")</f>
        <v>kgCO2/galón</v>
      </c>
      <c r="V109" s="124">
        <f t="shared" si="86"/>
        <v>1.7185413168000002E-3</v>
      </c>
      <c r="W109" s="18">
        <f t="shared" si="87"/>
        <v>6</v>
      </c>
      <c r="X109" s="18">
        <f t="shared" si="88"/>
        <v>0.18333333333333335</v>
      </c>
      <c r="Y109" s="18">
        <f t="shared" si="89"/>
        <v>8.7559503577091316E-2</v>
      </c>
      <c r="Z109" s="18">
        <f>IF(W109&gt;1,VLOOKUP(W109,Anexo!$G$7:$H$19,2,FALSE),0)</f>
        <v>2.57</v>
      </c>
      <c r="AA109" s="30">
        <f t="shared" si="90"/>
        <v>0.50109417468259043</v>
      </c>
      <c r="AB109" s="30">
        <f>IF(W109&gt;0,VLOOKUP(E109,FE!$B$67:$C$69,2,FALSE),0)</f>
        <v>0.5</v>
      </c>
      <c r="AC109" s="30">
        <f t="shared" si="91"/>
        <v>0.70788090234221346</v>
      </c>
      <c r="AD109" s="18">
        <f t="shared" si="92"/>
        <v>1.4799271829024007E-6</v>
      </c>
    </row>
    <row r="110" spans="3:30" ht="25.5">
      <c r="C110" s="11" t="s">
        <v>96</v>
      </c>
      <c r="D110" s="11" t="s">
        <v>79</v>
      </c>
      <c r="E110" s="11" t="s">
        <v>93</v>
      </c>
      <c r="F110" s="18" t="str">
        <f>IFERROR(VLOOKUP(E110,[1]FE!$B$67:$D$69,3,FALSE),"")</f>
        <v>gal</v>
      </c>
      <c r="G110" s="42"/>
      <c r="H110" s="42"/>
      <c r="I110" s="42">
        <v>0.20161290322580649</v>
      </c>
      <c r="J110" s="42"/>
      <c r="K110" s="42">
        <v>0.12600806451612906</v>
      </c>
      <c r="L110" s="42">
        <v>6.7204301075268827E-2</v>
      </c>
      <c r="M110" s="42">
        <v>1.6801075268817207E-2</v>
      </c>
      <c r="N110" s="42">
        <v>8.400537634408603E-2</v>
      </c>
      <c r="O110" s="42">
        <v>0.15120967741935487</v>
      </c>
      <c r="P110" s="42">
        <v>8.400537634408603E-2</v>
      </c>
      <c r="Q110" s="42">
        <v>0.10080645161290325</v>
      </c>
      <c r="R110" s="42">
        <v>6.7204301075268827E-2</v>
      </c>
      <c r="S110" s="18">
        <f t="shared" si="85"/>
        <v>0.8988575268817206</v>
      </c>
      <c r="T110" s="18">
        <f>IFERROR(VLOOKUP(E110,FE!$B$67:$F$69,4,FALSE),"")</f>
        <v>1.5623102879999999</v>
      </c>
      <c r="U110" s="18" t="str">
        <f>IFERROR(VLOOKUP(E110,FE!$B$67:$F$69,5,FALSE),"")</f>
        <v>kgCO2/galón</v>
      </c>
      <c r="V110" s="124">
        <f t="shared" si="86"/>
        <v>1.4042943616935485E-3</v>
      </c>
      <c r="W110" s="18">
        <f t="shared" si="87"/>
        <v>9</v>
      </c>
      <c r="X110" s="18">
        <f t="shared" si="88"/>
        <v>9.9873058542413407E-2</v>
      </c>
      <c r="Y110" s="18">
        <f t="shared" si="89"/>
        <v>5.3862522574124536E-2</v>
      </c>
      <c r="Z110" s="18">
        <f>IF(W110&gt;1,VLOOKUP(W110,Anexo!$G$7:$H$19,2,FALSE),0)</f>
        <v>2.31</v>
      </c>
      <c r="AA110" s="30">
        <f t="shared" si="90"/>
        <v>0.41526857179869925</v>
      </c>
      <c r="AB110" s="30">
        <f>IF(W110&gt;0,VLOOKUP(E110,FE!$B$67:$C$69,2,FALSE),0)</f>
        <v>0.5</v>
      </c>
      <c r="AC110" s="30">
        <f t="shared" si="91"/>
        <v>0.64995998855601211</v>
      </c>
      <c r="AD110" s="18">
        <f t="shared" si="92"/>
        <v>8.330854490357222E-7</v>
      </c>
    </row>
    <row r="111" spans="3:30" ht="25.5">
      <c r="C111" s="11" t="s">
        <v>96</v>
      </c>
      <c r="D111" s="11" t="s">
        <v>80</v>
      </c>
      <c r="E111" s="11" t="s">
        <v>93</v>
      </c>
      <c r="F111" s="18" t="str">
        <f>IFERROR(VLOOKUP(E111,[1]FE!$B$67:$D$69,3,FALSE),"")</f>
        <v>gal</v>
      </c>
      <c r="G111" s="42"/>
      <c r="H111" s="42"/>
      <c r="I111" s="42">
        <v>0.40322580645161299</v>
      </c>
      <c r="J111" s="42"/>
      <c r="K111" s="42">
        <v>0.25201612903225812</v>
      </c>
      <c r="L111" s="42">
        <v>0.13440860215053765</v>
      </c>
      <c r="M111" s="42">
        <v>3.3602150537634413E-2</v>
      </c>
      <c r="N111" s="42">
        <v>0.16801075268817206</v>
      </c>
      <c r="O111" s="42">
        <v>0.30241935483870974</v>
      </c>
      <c r="P111" s="42">
        <v>0.16801075268817206</v>
      </c>
      <c r="Q111" s="42">
        <v>0.20161290322580649</v>
      </c>
      <c r="R111" s="42">
        <v>0.13440860215053765</v>
      </c>
      <c r="S111" s="18">
        <f t="shared" si="85"/>
        <v>1.7977150537634412</v>
      </c>
      <c r="T111" s="18">
        <f>IFERROR(VLOOKUP(E111,FE!$B$67:$F$69,4,FALSE),"")</f>
        <v>1.5623102879999999</v>
      </c>
      <c r="U111" s="18" t="str">
        <f>IFERROR(VLOOKUP(E111,FE!$B$67:$F$69,5,FALSE),"")</f>
        <v>kgCO2/galón</v>
      </c>
      <c r="V111" s="124">
        <f t="shared" si="86"/>
        <v>2.8085887233870971E-3</v>
      </c>
      <c r="W111" s="18">
        <f t="shared" si="87"/>
        <v>9</v>
      </c>
      <c r="X111" s="18">
        <f t="shared" si="88"/>
        <v>0.19974611708482681</v>
      </c>
      <c r="Y111" s="18">
        <f t="shared" si="89"/>
        <v>0.10772504514824907</v>
      </c>
      <c r="Z111" s="18">
        <f>IF(W111&gt;1,VLOOKUP(W111,Anexo!$G$7:$H$19,2,FALSE),0)</f>
        <v>2.31</v>
      </c>
      <c r="AA111" s="30">
        <f t="shared" si="90"/>
        <v>0.41526857179869925</v>
      </c>
      <c r="AB111" s="30">
        <f>IF(W111&gt;0,VLOOKUP(E111,FE!$B$67:$C$69,2,FALSE),0)</f>
        <v>0.5</v>
      </c>
      <c r="AC111" s="30">
        <f t="shared" si="91"/>
        <v>0.64995998855601211</v>
      </c>
      <c r="AD111" s="18">
        <f t="shared" si="92"/>
        <v>3.3323417961428888E-6</v>
      </c>
    </row>
    <row r="112" spans="3:30" ht="15">
      <c r="C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79"/>
      <c r="U112" s="8"/>
      <c r="V112" s="29">
        <f>SUM(V91:V111)</f>
        <v>6.0375995841451618E-2</v>
      </c>
      <c r="AC112" s="31">
        <f>IF(V112&gt;0,SQRT(SUM(AD91:AD111))/V112,0)</f>
        <v>0.23536155755269225</v>
      </c>
      <c r="AD112" s="29">
        <f>(V112*AC112)^2</f>
        <v>2.0192945493300828E-4</v>
      </c>
    </row>
    <row r="114" spans="2:10" ht="12.75" customHeight="1">
      <c r="B114" s="191" t="s">
        <v>97</v>
      </c>
      <c r="C114" s="192"/>
      <c r="D114" s="192"/>
      <c r="E114" s="192"/>
      <c r="F114" s="193"/>
    </row>
    <row r="116" spans="2:10" ht="25.5">
      <c r="C116" s="2" t="s">
        <v>98</v>
      </c>
      <c r="D116" s="2" t="s">
        <v>99</v>
      </c>
      <c r="E116" s="2" t="s">
        <v>91</v>
      </c>
      <c r="F116" s="2" t="s">
        <v>100</v>
      </c>
      <c r="G116" s="2" t="s">
        <v>101</v>
      </c>
      <c r="H116" s="2" t="s">
        <v>102</v>
      </c>
      <c r="I116" s="2" t="s">
        <v>38</v>
      </c>
      <c r="J116" s="2" t="s">
        <v>103</v>
      </c>
    </row>
    <row r="117" spans="2:10">
      <c r="C117" s="2" t="s">
        <v>1</v>
      </c>
      <c r="D117" s="11" t="s">
        <v>104</v>
      </c>
      <c r="E117" s="17">
        <f>+AA20+AA34+AF52</f>
        <v>11.403785329500694</v>
      </c>
      <c r="F117" s="17">
        <f>+AB20+AB34+AG52+AJ52</f>
        <v>2.8735940223201852E-5</v>
      </c>
      <c r="G117" s="17">
        <f>+AC20+AC34+AH52+AK52</f>
        <v>7.0757616083526695E-6</v>
      </c>
      <c r="H117" s="17">
        <f>+AD20+AD34+AL52</f>
        <v>11.406568478061281</v>
      </c>
      <c r="I117" s="30">
        <f>IF(H117&gt;0,SQRT(AL20+AL34+AT52)/H117,0)</f>
        <v>0.18502275455606645</v>
      </c>
      <c r="J117" s="18">
        <f>IFERROR((H117*I117)^2,0)</f>
        <v>4.4541035430976423</v>
      </c>
    </row>
    <row r="118" spans="2:10">
      <c r="C118" s="2" t="s">
        <v>81</v>
      </c>
      <c r="D118" s="11" t="s">
        <v>105</v>
      </c>
      <c r="E118" s="17">
        <f>+AA69+AF86</f>
        <v>0</v>
      </c>
      <c r="F118" s="17">
        <f>+AB69+AG86+AJ86</f>
        <v>0</v>
      </c>
      <c r="G118" s="17">
        <f>+AC69+AH86+AK86</f>
        <v>0</v>
      </c>
      <c r="H118" s="17">
        <f>+AD69+AL86</f>
        <v>0</v>
      </c>
      <c r="I118" s="30">
        <f>IF(H118&gt;0,SQRT(AL69+AT86)/H118,0)</f>
        <v>0</v>
      </c>
      <c r="J118" s="18">
        <f t="shared" ref="J118:J119" si="93">IFERROR((H118*I118)^2,0)</f>
        <v>0</v>
      </c>
    </row>
    <row r="119" spans="2:10">
      <c r="C119" s="2" t="s">
        <v>83</v>
      </c>
      <c r="D119" s="11" t="s">
        <v>106</v>
      </c>
      <c r="E119" s="17">
        <f>+V112</f>
        <v>6.0375995841451618E-2</v>
      </c>
      <c r="F119" s="17">
        <v>0</v>
      </c>
      <c r="G119" s="17">
        <v>0</v>
      </c>
      <c r="H119" s="17">
        <f>+V112</f>
        <v>6.0375995841451618E-2</v>
      </c>
      <c r="I119" s="30">
        <f>IF(H119&gt;0,SQRT(AD112)/H119,0)</f>
        <v>0.23536155755269225</v>
      </c>
      <c r="J119" s="18">
        <f t="shared" si="93"/>
        <v>2.0192945493300828E-4</v>
      </c>
    </row>
    <row r="120" spans="2:10">
      <c r="C120" s="189" t="s">
        <v>107</v>
      </c>
      <c r="D120" s="190"/>
      <c r="E120" s="29">
        <f>SUM(E117:E119)</f>
        <v>11.464161325342147</v>
      </c>
      <c r="F120" s="29">
        <f t="shared" ref="F120:H120" si="94">SUM(F117:F119)</f>
        <v>2.8735940223201852E-5</v>
      </c>
      <c r="G120" s="29">
        <f t="shared" si="94"/>
        <v>7.0757616083526695E-6</v>
      </c>
      <c r="H120" s="29">
        <f t="shared" si="94"/>
        <v>11.466944473902734</v>
      </c>
      <c r="I120" s="31">
        <f>IF(H120&gt;0,SQRT(J117+J118+J119)/H120,0)</f>
        <v>0.18405274080840217</v>
      </c>
    </row>
    <row r="122" spans="2:10">
      <c r="B122" s="191" t="s">
        <v>108</v>
      </c>
      <c r="C122" s="192"/>
      <c r="D122" s="192"/>
      <c r="E122" s="192"/>
      <c r="F122" s="193"/>
    </row>
    <row r="124" spans="2:10">
      <c r="C124" s="2" t="s">
        <v>98</v>
      </c>
      <c r="D124" s="2" t="s">
        <v>99</v>
      </c>
      <c r="E124" s="2" t="s">
        <v>91</v>
      </c>
    </row>
    <row r="125" spans="2:10">
      <c r="C125" s="2" t="s">
        <v>1</v>
      </c>
      <c r="D125" s="11" t="s">
        <v>104</v>
      </c>
      <c r="E125" s="17">
        <f>+Z20+Z34+AI52</f>
        <v>0.85443522044547537</v>
      </c>
    </row>
    <row r="126" spans="2:10">
      <c r="C126" s="2" t="s">
        <v>81</v>
      </c>
      <c r="D126" s="11" t="s">
        <v>105</v>
      </c>
      <c r="E126" s="17">
        <f>+Z69+AI86</f>
        <v>0</v>
      </c>
    </row>
    <row r="127" spans="2:10">
      <c r="C127" s="189" t="s">
        <v>107</v>
      </c>
      <c r="D127" s="190"/>
      <c r="E127" s="29">
        <f>SUM(E125:E126)</f>
        <v>0.85443522044547537</v>
      </c>
    </row>
  </sheetData>
  <mergeCells count="27">
    <mergeCell ref="AI72:AK72"/>
    <mergeCell ref="C37:I37"/>
    <mergeCell ref="C89:F89"/>
    <mergeCell ref="B114:F114"/>
    <mergeCell ref="C57:F57"/>
    <mergeCell ref="C58:J58"/>
    <mergeCell ref="C71:F71"/>
    <mergeCell ref="C72:F72"/>
    <mergeCell ref="Z72:AB72"/>
    <mergeCell ref="AC72:AE72"/>
    <mergeCell ref="AI37:AK37"/>
    <mergeCell ref="C88:F88"/>
    <mergeCell ref="C55:F55"/>
    <mergeCell ref="Z37:AB37"/>
    <mergeCell ref="AC37:AE37"/>
    <mergeCell ref="AF37:AH37"/>
    <mergeCell ref="C120:D120"/>
    <mergeCell ref="B122:F122"/>
    <mergeCell ref="C127:D127"/>
    <mergeCell ref="D2:L3"/>
    <mergeCell ref="AF72:AH72"/>
    <mergeCell ref="C9:F9"/>
    <mergeCell ref="C22:F22"/>
    <mergeCell ref="C23:J23"/>
    <mergeCell ref="C6:F6"/>
    <mergeCell ref="C8:F8"/>
    <mergeCell ref="C36:F36"/>
  </mergeCells>
  <phoneticPr fontId="4" type="noConversion"/>
  <dataValidations count="1">
    <dataValidation type="list" allowBlank="1" showInputMessage="1" showErrorMessage="1" sqref="E25 E60" xr:uid="{F4D180FF-1627-47F0-9799-C937A70D50D5}">
      <formula1>CG</formula1>
    </dataValidation>
  </dataValidations>
  <pageMargins left="0.7" right="0.7" top="0.75" bottom="0.75" header="0.3" footer="0.3"/>
  <pageSetup orientation="portrait" r:id="rId1"/>
  <ignoredErrors>
    <ignoredError sqref="I11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1F19490A-260A-4B86-8D83-B6A148267518}">
          <x14:formula1>
            <xm:f>FE!$B$9:$B$33</xm:f>
          </x14:formula1>
          <xm:sqref>E11:E19</xm:sqref>
        </x14:dataValidation>
        <x14:dataValidation type="list" allowBlank="1" showInputMessage="1" showErrorMessage="1" xr:uid="{51F5C4B9-FBDE-4133-99AB-869F6C44E874}">
          <x14:formula1>
            <xm:f>Anexo!$C$14:$C$19</xm:f>
          </x14:formula1>
          <xm:sqref>H74:H85 H39:H51</xm:sqref>
        </x14:dataValidation>
        <x14:dataValidation type="list" allowBlank="1" showInputMessage="1" showErrorMessage="1" xr:uid="{24F969C2-037A-4031-AF70-BD24D4681063}">
          <x14:formula1>
            <xm:f>Anexo!$C$14:$C$20</xm:f>
          </x14:formula1>
          <xm:sqref>F25:F33 F60:F68</xm:sqref>
        </x14:dataValidation>
        <x14:dataValidation type="list" allowBlank="1" showInputMessage="1" showErrorMessage="1" xr:uid="{D7E5F429-0D32-45B4-ADF3-B9D4DE5A1014}">
          <x14:formula1>
            <xm:f>Anexo!$C$8:$C$11</xm:f>
          </x14:formula1>
          <xm:sqref>F11:F19</xm:sqref>
        </x14:dataValidation>
        <x14:dataValidation type="list" allowBlank="1" showInputMessage="1" showErrorMessage="1" xr:uid="{B6694445-A1F8-435E-B204-16E7DF0EAA92}">
          <x14:formula1>
            <xm:f>FE!$I$10:$I$21</xm:f>
          </x14:formula1>
          <xm:sqref>E74:E85 E39:E51</xm:sqref>
        </x14:dataValidation>
        <x14:dataValidation type="list" allowBlank="1" showInputMessage="1" showErrorMessage="1" xr:uid="{F2CF051A-629B-4CD4-B5C4-1D77AD04E047}">
          <x14:formula1>
            <xm:f>FE!$I$15:$I$16</xm:f>
          </x14:formula1>
          <xm:sqref>F74:F85 F39:F51</xm:sqref>
        </x14:dataValidation>
        <x14:dataValidation type="list" allowBlank="1" showInputMessage="1" showErrorMessage="1" xr:uid="{50D162EB-CE01-48E7-A570-C66C8430A48D}">
          <x14:formula1>
            <xm:f>FE!$B$67:$B$69</xm:f>
          </x14:formula1>
          <xm:sqref>E91:E111</xm:sqref>
        </x14:dataValidation>
        <x14:dataValidation type="list" allowBlank="1" showInputMessage="1" showErrorMessage="1" xr:uid="{B6A39413-1488-4301-A4FE-0D1CE740A745}">
          <x14:formula1>
            <xm:f>FE!$B$59:$B$85</xm:f>
          </x14:formula1>
          <xm:sqref>E26:E33 E61:E68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6025-3902-46F1-B124-863EEC1C72E6}">
  <dimension ref="A1:S33"/>
  <sheetViews>
    <sheetView workbookViewId="0">
      <selection activeCell="F27" sqref="F27"/>
    </sheetView>
  </sheetViews>
  <sheetFormatPr defaultColWidth="11.42578125" defaultRowHeight="14.25"/>
  <cols>
    <col min="1" max="1" width="3.28515625" style="1" customWidth="1"/>
    <col min="2" max="2" width="3.5703125" style="1" customWidth="1"/>
    <col min="3" max="3" width="11.140625" style="1" customWidth="1"/>
    <col min="4" max="4" width="14.85546875" style="1" bestFit="1" customWidth="1"/>
    <col min="5" max="5" width="12.140625" style="1" bestFit="1" customWidth="1"/>
    <col min="6" max="9" width="11.42578125" style="1"/>
    <col min="10" max="10" width="18" style="1" customWidth="1"/>
    <col min="11" max="18" width="11.42578125" style="1"/>
    <col min="19" max="19" width="16.7109375" style="1" customWidth="1"/>
    <col min="20" max="16384" width="11.42578125" style="1"/>
  </cols>
  <sheetData>
    <row r="1" spans="1:19" s="16" customFormat="1" ht="12.75"/>
    <row r="2" spans="1:19" s="43" customFormat="1" ht="12.75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1:19" s="43" customFormat="1" ht="12.75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4" spans="1:19" s="16" customFormat="1" ht="12.75"/>
    <row r="5" spans="1:19" s="16" customFormat="1" ht="12.75"/>
    <row r="6" spans="1:19" s="16" customFormat="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6" customFormat="1" ht="21">
      <c r="A7" s="44"/>
      <c r="B7" s="44"/>
      <c r="C7" s="45" t="s">
        <v>89</v>
      </c>
      <c r="D7" s="45" t="s">
        <v>452</v>
      </c>
      <c r="E7" s="44"/>
      <c r="F7" s="44"/>
      <c r="G7" s="45" t="s">
        <v>34</v>
      </c>
      <c r="H7" s="45" t="s">
        <v>37</v>
      </c>
      <c r="I7" s="44"/>
      <c r="J7" s="45" t="s">
        <v>453</v>
      </c>
      <c r="K7" s="45" t="s">
        <v>454</v>
      </c>
      <c r="L7" s="44"/>
      <c r="M7" s="44"/>
      <c r="N7" s="44"/>
      <c r="O7" s="44"/>
      <c r="P7" s="44"/>
      <c r="Q7" s="44"/>
      <c r="R7" s="44"/>
      <c r="S7" s="44"/>
    </row>
    <row r="8" spans="1:19" ht="27.75" customHeight="1">
      <c r="A8" s="46"/>
      <c r="B8" s="46"/>
      <c r="C8" s="47" t="s">
        <v>455</v>
      </c>
      <c r="D8" s="47">
        <v>9.9999999999999995E-7</v>
      </c>
      <c r="E8" s="46"/>
      <c r="F8" s="46"/>
      <c r="G8" s="47">
        <v>0</v>
      </c>
      <c r="H8" s="47">
        <v>0</v>
      </c>
      <c r="I8" s="46"/>
      <c r="J8" s="47" t="s">
        <v>456</v>
      </c>
      <c r="K8" s="52">
        <v>5.0000000000000001E-3</v>
      </c>
      <c r="L8" s="46"/>
      <c r="M8" s="46"/>
      <c r="N8" s="46"/>
      <c r="O8" s="46"/>
      <c r="P8" s="46"/>
      <c r="Q8" s="46"/>
      <c r="R8" s="46"/>
      <c r="S8" s="46"/>
    </row>
    <row r="9" spans="1:19" ht="21">
      <c r="A9" s="46"/>
      <c r="B9" s="46"/>
      <c r="C9" s="47" t="s">
        <v>116</v>
      </c>
      <c r="D9" s="47">
        <v>4.53592E-4</v>
      </c>
      <c r="E9" s="46"/>
      <c r="F9" s="46"/>
      <c r="G9" s="47">
        <v>2</v>
      </c>
      <c r="H9" s="47">
        <v>12.71</v>
      </c>
      <c r="I9" s="46"/>
      <c r="J9" s="47" t="s">
        <v>457</v>
      </c>
      <c r="K9" s="52">
        <v>0.15</v>
      </c>
      <c r="L9" s="46"/>
      <c r="M9" s="46"/>
      <c r="N9" s="46"/>
      <c r="O9" s="46"/>
      <c r="P9" s="46"/>
      <c r="Q9" s="46"/>
      <c r="R9" s="46"/>
      <c r="S9" s="46"/>
    </row>
    <row r="10" spans="1:19" ht="21">
      <c r="A10" s="46"/>
      <c r="B10" s="46"/>
      <c r="C10" s="47" t="s">
        <v>229</v>
      </c>
      <c r="D10" s="47">
        <v>1E-3</v>
      </c>
      <c r="E10" s="46"/>
      <c r="F10" s="46"/>
      <c r="G10" s="47">
        <v>3</v>
      </c>
      <c r="H10" s="47">
        <v>4.3</v>
      </c>
      <c r="I10" s="46"/>
      <c r="J10" s="47" t="s">
        <v>458</v>
      </c>
      <c r="K10" s="52">
        <v>0.35</v>
      </c>
      <c r="L10" s="46"/>
      <c r="M10" s="46"/>
      <c r="N10" s="46"/>
      <c r="O10" s="46"/>
      <c r="P10" s="46"/>
      <c r="Q10" s="46"/>
      <c r="R10" s="46"/>
      <c r="S10" s="46"/>
    </row>
    <row r="11" spans="1:19">
      <c r="A11" s="46"/>
      <c r="B11" s="46"/>
      <c r="C11" s="47" t="s">
        <v>459</v>
      </c>
      <c r="D11" s="47">
        <v>1</v>
      </c>
      <c r="E11" s="46"/>
      <c r="F11" s="46"/>
      <c r="G11" s="47">
        <v>4</v>
      </c>
      <c r="H11" s="47">
        <v>3.18</v>
      </c>
      <c r="I11" s="46"/>
      <c r="J11" s="47" t="s">
        <v>460</v>
      </c>
      <c r="K11" s="52">
        <v>0.5</v>
      </c>
      <c r="L11" s="46"/>
      <c r="M11" s="46"/>
      <c r="N11" s="46"/>
      <c r="O11" s="46"/>
      <c r="P11" s="46"/>
      <c r="Q11" s="46"/>
      <c r="R11" s="46"/>
      <c r="S11" s="46"/>
    </row>
    <row r="12" spans="1:19">
      <c r="A12" s="46"/>
      <c r="B12" s="46"/>
      <c r="C12" s="46"/>
      <c r="D12" s="46"/>
      <c r="E12" s="46"/>
      <c r="F12" s="46"/>
      <c r="G12" s="47">
        <v>5</v>
      </c>
      <c r="H12" s="47">
        <v>2.78</v>
      </c>
      <c r="I12" s="46"/>
      <c r="J12" s="47" t="s">
        <v>461</v>
      </c>
      <c r="K12" s="52">
        <v>0.25</v>
      </c>
      <c r="L12" s="46"/>
      <c r="M12" s="46"/>
      <c r="N12" s="46"/>
      <c r="O12" s="46"/>
      <c r="P12" s="46"/>
      <c r="Q12" s="46"/>
      <c r="R12" s="46"/>
      <c r="S12" s="46"/>
    </row>
    <row r="13" spans="1:19">
      <c r="A13" s="46"/>
      <c r="B13" s="46"/>
      <c r="C13" s="45" t="s">
        <v>89</v>
      </c>
      <c r="D13" s="45" t="s">
        <v>462</v>
      </c>
      <c r="E13" s="46"/>
      <c r="F13" s="46"/>
      <c r="G13" s="47">
        <v>6</v>
      </c>
      <c r="H13" s="47">
        <v>2.57</v>
      </c>
      <c r="I13" s="46"/>
      <c r="J13" s="47" t="s">
        <v>463</v>
      </c>
      <c r="K13" s="52">
        <v>0.15</v>
      </c>
      <c r="L13" s="46"/>
      <c r="M13" s="46"/>
      <c r="N13" s="46"/>
      <c r="O13" s="46"/>
      <c r="P13" s="46"/>
      <c r="Q13" s="46"/>
      <c r="R13" s="46"/>
      <c r="S13" s="46"/>
    </row>
    <row r="14" spans="1:19" ht="31.5">
      <c r="A14" s="46"/>
      <c r="B14" s="46"/>
      <c r="C14" s="47" t="s">
        <v>464</v>
      </c>
      <c r="D14" s="48">
        <v>1</v>
      </c>
      <c r="E14" s="46"/>
      <c r="F14" s="46"/>
      <c r="G14" s="47">
        <v>7</v>
      </c>
      <c r="H14" s="47">
        <v>2.4500000000000002</v>
      </c>
      <c r="I14" s="46"/>
      <c r="J14" s="47" t="s">
        <v>465</v>
      </c>
      <c r="K14" s="52">
        <v>0.1</v>
      </c>
      <c r="L14" s="46"/>
      <c r="M14" s="46"/>
      <c r="N14" s="46"/>
      <c r="O14" s="46"/>
      <c r="P14" s="46"/>
      <c r="Q14" s="46"/>
      <c r="R14" s="46"/>
      <c r="S14" s="46"/>
    </row>
    <row r="15" spans="1:19" ht="21">
      <c r="A15" s="46"/>
      <c r="B15" s="46"/>
      <c r="C15" s="47" t="s">
        <v>466</v>
      </c>
      <c r="D15" s="48">
        <v>1.6379999999999999E-5</v>
      </c>
      <c r="E15" s="46"/>
      <c r="F15" s="46"/>
      <c r="G15" s="47">
        <v>8</v>
      </c>
      <c r="H15" s="47">
        <v>2.36</v>
      </c>
      <c r="I15" s="46"/>
      <c r="J15" s="47" t="s">
        <v>467</v>
      </c>
      <c r="K15" s="52">
        <v>0.2</v>
      </c>
      <c r="L15" s="46"/>
      <c r="M15" s="46"/>
      <c r="N15" s="46"/>
      <c r="O15" s="46"/>
      <c r="P15" s="46"/>
      <c r="Q15" s="46"/>
      <c r="R15" s="46"/>
      <c r="S15" s="46"/>
    </row>
    <row r="16" spans="1:19">
      <c r="A16" s="46"/>
      <c r="B16" s="46"/>
      <c r="C16" s="47" t="s">
        <v>468</v>
      </c>
      <c r="D16" s="48">
        <v>2.8309999999999998E-2</v>
      </c>
      <c r="E16" s="46"/>
      <c r="F16" s="46"/>
      <c r="G16" s="47">
        <v>9</v>
      </c>
      <c r="H16" s="47">
        <v>2.31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>
      <c r="A17" s="46"/>
      <c r="B17" s="46"/>
      <c r="C17" s="47" t="s">
        <v>469</v>
      </c>
      <c r="D17" s="48">
        <v>9.9999999999999995E-7</v>
      </c>
      <c r="E17" s="46"/>
      <c r="F17" s="46"/>
      <c r="G17" s="47">
        <v>10</v>
      </c>
      <c r="H17" s="47">
        <v>2.2599999999999998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>
      <c r="A18" s="46"/>
      <c r="B18" s="46"/>
      <c r="C18" s="47" t="s">
        <v>470</v>
      </c>
      <c r="D18" s="48">
        <v>1E-3</v>
      </c>
      <c r="E18" s="46"/>
      <c r="F18" s="46"/>
      <c r="G18" s="47">
        <v>11</v>
      </c>
      <c r="H18" s="47">
        <v>2.23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>
      <c r="A19" s="46"/>
      <c r="B19" s="46"/>
      <c r="C19" s="47" t="s">
        <v>68</v>
      </c>
      <c r="D19" s="48">
        <v>3.7850000000000002E-3</v>
      </c>
      <c r="E19" s="46"/>
      <c r="F19" s="46"/>
      <c r="G19" s="47">
        <v>12</v>
      </c>
      <c r="H19" s="47">
        <v>2.2000000000000002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>
      <c r="A20" s="46"/>
      <c r="B20" s="46"/>
      <c r="C20" s="47" t="s">
        <v>331</v>
      </c>
      <c r="D20" s="49">
        <v>1</v>
      </c>
      <c r="E20" s="50" t="s">
        <v>471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>
      <c r="A21" s="46"/>
      <c r="B21" s="46"/>
      <c r="C21" s="46"/>
      <c r="D21" s="46"/>
      <c r="E21" s="46"/>
      <c r="F21" s="46"/>
      <c r="G21" s="46" t="s">
        <v>472</v>
      </c>
      <c r="H21" s="46"/>
      <c r="I21" s="46"/>
      <c r="J21" s="46" t="s">
        <v>472</v>
      </c>
      <c r="K21" s="46"/>
      <c r="L21" s="46"/>
      <c r="M21" s="46"/>
      <c r="N21" s="46"/>
      <c r="O21" s="46"/>
      <c r="P21" s="46"/>
      <c r="Q21" s="46"/>
      <c r="R21" s="46"/>
      <c r="S21" s="46"/>
    </row>
    <row r="22" spans="1:19">
      <c r="A22" s="46"/>
      <c r="B22" s="46"/>
      <c r="C22" s="46"/>
      <c r="D22" s="46"/>
      <c r="E22" s="46"/>
      <c r="F22" s="46"/>
      <c r="G22" s="51" t="s">
        <v>473</v>
      </c>
      <c r="H22" s="46"/>
      <c r="I22" s="46"/>
      <c r="J22" s="51" t="s">
        <v>474</v>
      </c>
      <c r="K22" s="46"/>
      <c r="L22" s="46"/>
      <c r="M22" s="46"/>
      <c r="N22" s="46"/>
      <c r="O22" s="46"/>
      <c r="P22" s="46"/>
      <c r="Q22" s="46"/>
      <c r="R22" s="46"/>
      <c r="S22" s="46"/>
    </row>
    <row r="23" spans="1:19">
      <c r="A23" s="46"/>
      <c r="B23" s="46"/>
      <c r="C23" s="45" t="s">
        <v>89</v>
      </c>
      <c r="D23" s="45" t="s">
        <v>475</v>
      </c>
      <c r="E23" s="46"/>
      <c r="F23" s="46"/>
      <c r="G23" s="46" t="s">
        <v>476</v>
      </c>
      <c r="H23" s="46"/>
      <c r="I23" s="46"/>
      <c r="J23" s="46" t="s">
        <v>477</v>
      </c>
      <c r="K23" s="46"/>
      <c r="L23" s="46"/>
      <c r="M23" s="46"/>
      <c r="N23" s="46"/>
      <c r="O23" s="46"/>
      <c r="P23" s="46"/>
      <c r="Q23" s="46"/>
      <c r="R23" s="46"/>
      <c r="S23" s="46"/>
    </row>
    <row r="24" spans="1:19">
      <c r="A24" s="46"/>
      <c r="B24" s="46"/>
      <c r="C24" s="47" t="s">
        <v>464</v>
      </c>
      <c r="D24" s="48">
        <v>264.17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>
      <c r="A25" s="46"/>
      <c r="B25" s="46"/>
      <c r="C25" s="47" t="s">
        <v>466</v>
      </c>
      <c r="D25" s="48">
        <v>4.3290000000000004E-3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>
      <c r="A26" s="46"/>
      <c r="B26" s="46"/>
      <c r="C26" s="47" t="s">
        <v>468</v>
      </c>
      <c r="D26" s="48">
        <v>7.4805000000000001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>
      <c r="A27" s="46"/>
      <c r="B27" s="46"/>
      <c r="C27" s="47" t="s">
        <v>469</v>
      </c>
      <c r="D27" s="48">
        <v>2.6420000000000003E-4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>
      <c r="A28" s="46"/>
      <c r="B28" s="46"/>
      <c r="C28" s="47" t="s">
        <v>470</v>
      </c>
      <c r="D28" s="48">
        <v>0.26419999999999999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>
      <c r="A29" s="46"/>
      <c r="B29" s="46"/>
      <c r="C29" s="47" t="s">
        <v>68</v>
      </c>
      <c r="D29" s="48">
        <v>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</sheetData>
  <mergeCells count="1">
    <mergeCell ref="D2:L3"/>
  </mergeCells>
  <hyperlinks>
    <hyperlink ref="G22" r:id="rId1" xr:uid="{88CEF3FA-73C1-453B-9100-E56D656A6C96}"/>
    <hyperlink ref="J22" r:id="rId2" xr:uid="{BA03E7F4-F18F-4EEC-ADBC-4081BA78DA61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698F-CB17-4976-8627-FFC72E89C4B1}">
  <dimension ref="B2:AE48"/>
  <sheetViews>
    <sheetView topLeftCell="A11" zoomScaleNormal="100" workbookViewId="0">
      <selection activeCell="B5" sqref="B5"/>
    </sheetView>
  </sheetViews>
  <sheetFormatPr defaultColWidth="11.42578125" defaultRowHeight="12.75"/>
  <cols>
    <col min="1" max="1" width="1.28515625" style="16" customWidth="1"/>
    <col min="2" max="2" width="6" style="16" customWidth="1"/>
    <col min="3" max="3" width="15.140625" style="16" customWidth="1"/>
    <col min="4" max="4" width="16.42578125" style="16" customWidth="1"/>
    <col min="5" max="5" width="13.5703125" style="16" bestFit="1" customWidth="1"/>
    <col min="6" max="6" width="13.7109375" style="16" customWidth="1"/>
    <col min="7" max="7" width="15" style="16" customWidth="1"/>
    <col min="8" max="8" width="18.140625" style="16" customWidth="1"/>
    <col min="9" max="18" width="12.5703125" style="16" customWidth="1"/>
    <col min="19" max="19" width="16.7109375" style="16" customWidth="1"/>
    <col min="20" max="20" width="18.140625" style="16" customWidth="1"/>
    <col min="21" max="21" width="15.42578125" style="16" customWidth="1"/>
    <col min="22" max="22" width="13.28515625" style="16" customWidth="1"/>
    <col min="23" max="23" width="14.140625" style="16" customWidth="1"/>
    <col min="24" max="30" width="11.42578125" style="16"/>
    <col min="31" max="31" width="12.28515625" style="16" customWidth="1"/>
    <col min="32" max="38" width="17.140625" style="16" customWidth="1"/>
    <col min="39" max="16384" width="11.42578125" style="16"/>
  </cols>
  <sheetData>
    <row r="2" spans="2:31" s="43" customFormat="1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2:31" s="43" customFormat="1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6" spans="2:31">
      <c r="B6" s="2" t="s">
        <v>109</v>
      </c>
      <c r="C6" s="191" t="s">
        <v>110</v>
      </c>
      <c r="D6" s="192"/>
      <c r="E6" s="192"/>
      <c r="F6" s="193"/>
    </row>
    <row r="7" spans="2:31">
      <c r="C7" s="196" t="s">
        <v>111</v>
      </c>
      <c r="D7" s="196"/>
      <c r="E7" s="196"/>
      <c r="F7" s="196"/>
    </row>
    <row r="8" spans="2:31" ht="42.75" customHeight="1">
      <c r="C8" s="6" t="s">
        <v>6</v>
      </c>
      <c r="D8" s="7" t="s">
        <v>7</v>
      </c>
      <c r="E8" s="7" t="s">
        <v>112</v>
      </c>
      <c r="F8" s="7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5" t="s">
        <v>113</v>
      </c>
      <c r="W8" s="5" t="s">
        <v>33</v>
      </c>
      <c r="X8" s="5" t="s">
        <v>34</v>
      </c>
      <c r="Y8" s="5" t="s">
        <v>35</v>
      </c>
      <c r="Z8" s="5" t="s">
        <v>36</v>
      </c>
      <c r="AA8" s="5" t="s">
        <v>37</v>
      </c>
      <c r="AB8" s="5" t="s">
        <v>38</v>
      </c>
      <c r="AC8" s="5" t="s">
        <v>39</v>
      </c>
      <c r="AD8" s="5" t="s">
        <v>40</v>
      </c>
      <c r="AE8" s="5" t="s">
        <v>41</v>
      </c>
    </row>
    <row r="9" spans="2:31" ht="25.5">
      <c r="C9" s="11" t="s">
        <v>64</v>
      </c>
      <c r="D9" s="11" t="s">
        <v>114</v>
      </c>
      <c r="E9" s="11" t="s">
        <v>115</v>
      </c>
      <c r="F9" s="11" t="s">
        <v>116</v>
      </c>
      <c r="G9" s="11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50</v>
      </c>
      <c r="S9" s="18">
        <f>SUM(H9:R9)</f>
        <v>50</v>
      </c>
      <c r="T9" s="40">
        <f>IFERROR(VLOOKUP(F9,Anexo!$C$8:$D$11,2,FALSE),"")</f>
        <v>4.53592E-4</v>
      </c>
      <c r="U9" s="18">
        <f>IFERROR(S9*T9,"")</f>
        <v>2.2679600000000001E-2</v>
      </c>
      <c r="V9" s="18">
        <f>IFERROR(VLOOKUP(E9,PCG!$G$8:$H$9,2,FALSE),"")</f>
        <v>1</v>
      </c>
      <c r="W9" s="18">
        <f t="shared" ref="W9:W10" si="0">IFERROR(U9*V9,"")</f>
        <v>2.2679600000000001E-2</v>
      </c>
      <c r="X9" s="18">
        <f>COUNTIF(H9:R9,"&gt;0")</f>
        <v>1</v>
      </c>
      <c r="Y9" s="18">
        <f>IF(X9&gt;1,AVERAGE(H9:R9),0)</f>
        <v>0</v>
      </c>
      <c r="Z9" s="18">
        <f>IF(X9&gt;1,STDEV(H9:R9),0)</f>
        <v>0</v>
      </c>
      <c r="AA9" s="18">
        <f>IF(X9&gt;1,VLOOKUP(X9,Anexo!$G$7:$H$19,2,FALSE),0)</f>
        <v>0</v>
      </c>
      <c r="AB9" s="30">
        <f>IF(X9&gt;1,1-((Y9-((Z9*AA9)/(SQRT(X9))))/Y9),AC9)</f>
        <v>0.5</v>
      </c>
      <c r="AC9" s="30">
        <f>IF(X9&gt;0,VLOOKUP(E9,PCG!$G$8:$J$9,4,FALSE),0)</f>
        <v>0.5</v>
      </c>
      <c r="AD9" s="30">
        <f>SQRT((AB9*AB9)+(AC9*AC9))</f>
        <v>0.70710678118654757</v>
      </c>
      <c r="AE9" s="18">
        <f>IFERROR((W9*AD9)^2,0)</f>
        <v>2.5718212808000006E-4</v>
      </c>
    </row>
    <row r="10" spans="2:31" ht="25.5">
      <c r="C10" s="11" t="s">
        <v>64</v>
      </c>
      <c r="D10" s="11" t="s">
        <v>117</v>
      </c>
      <c r="E10" s="11" t="s">
        <v>115</v>
      </c>
      <c r="F10" s="11" t="s">
        <v>116</v>
      </c>
      <c r="G10" s="1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>
        <v>350</v>
      </c>
      <c r="S10" s="18">
        <f>SUM(H10:R10)</f>
        <v>350</v>
      </c>
      <c r="T10" s="40">
        <f>IFERROR(VLOOKUP(F10,Anexo!$C$8:$D$11,2,FALSE),"")</f>
        <v>4.53592E-4</v>
      </c>
      <c r="U10" s="18">
        <f t="shared" ref="U10" si="1">IFERROR(S10*T10,"")</f>
        <v>0.15875720000000001</v>
      </c>
      <c r="V10" s="18">
        <f>IFERROR(VLOOKUP(E10,PCG!$G$8:$H$9,2,FALSE),"")</f>
        <v>1</v>
      </c>
      <c r="W10" s="18">
        <f t="shared" si="0"/>
        <v>0.15875720000000001</v>
      </c>
      <c r="X10" s="18">
        <f>COUNTIF(H10:R10,"&gt;0")</f>
        <v>1</v>
      </c>
      <c r="Y10" s="18">
        <f>IF(X10&gt;1,AVERAGE(H10:R10),0)</f>
        <v>0</v>
      </c>
      <c r="Z10" s="18">
        <f>IF(X10&gt;1,STDEV(H10:R10),0)</f>
        <v>0</v>
      </c>
      <c r="AA10" s="18">
        <f>IF(X10&gt;1,VLOOKUP(X10,Anexo!$G$7:$H$19,2,FALSE),0)</f>
        <v>0</v>
      </c>
      <c r="AB10" s="30">
        <f t="shared" ref="AB10" si="2">IF(X10&gt;1,1-((Y10-((Z10*AA10)/(SQRT(X10))))/Y10),AC10)</f>
        <v>0.5</v>
      </c>
      <c r="AC10" s="30">
        <f>IF(X10&gt;0,VLOOKUP(E10,PCG!$G$8:$J$9,4,FALSE),0)</f>
        <v>0.5</v>
      </c>
      <c r="AD10" s="30">
        <f t="shared" ref="AD10" si="3">SQRT((AB10*AB10)+(AC10*AC10))</f>
        <v>0.70710678118654757</v>
      </c>
      <c r="AE10" s="18">
        <f t="shared" ref="AE10" si="4">IFERROR((W10*AD10)^2,0)</f>
        <v>1.2601924275920004E-2</v>
      </c>
    </row>
    <row r="11" spans="2:31"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>
        <f>SUM(S9:S10)</f>
        <v>400</v>
      </c>
      <c r="T11" s="19"/>
      <c r="U11" s="29">
        <f>SUM(U9:U10)</f>
        <v>0.18143680000000001</v>
      </c>
      <c r="V11" s="19"/>
      <c r="W11" s="29">
        <f>SUM(W9:W10)</f>
        <v>0.18143680000000001</v>
      </c>
      <c r="AD11" s="31">
        <f>IF(W11&gt;0,SQRT(SUM(AE9:AE10))/W11,0)</f>
        <v>0.625</v>
      </c>
      <c r="AE11" s="29">
        <f>(W11*AD11)^2</f>
        <v>1.2859106404E-2</v>
      </c>
    </row>
    <row r="12" spans="2:31"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Z12" s="19"/>
      <c r="AA12" s="19"/>
      <c r="AB12" s="19"/>
      <c r="AC12" s="19"/>
    </row>
    <row r="13" spans="2:31">
      <c r="B13" s="2" t="s">
        <v>118</v>
      </c>
      <c r="C13" s="197" t="s">
        <v>119</v>
      </c>
      <c r="D13" s="197"/>
      <c r="E13" s="197"/>
      <c r="F13" s="197"/>
    </row>
    <row r="14" spans="2:31" ht="12.75" customHeight="1">
      <c r="C14" s="198" t="s">
        <v>120</v>
      </c>
      <c r="D14" s="198"/>
      <c r="E14" s="198"/>
      <c r="F14" s="198"/>
      <c r="G14" s="198"/>
      <c r="H14" s="198"/>
      <c r="I14" s="198"/>
      <c r="J14" s="198"/>
    </row>
    <row r="15" spans="2:31" ht="42.75" customHeight="1">
      <c r="C15" s="6" t="s">
        <v>6</v>
      </c>
      <c r="D15" s="7" t="s">
        <v>7</v>
      </c>
      <c r="E15" s="7" t="s">
        <v>112</v>
      </c>
      <c r="F15" s="7" t="s">
        <v>9</v>
      </c>
      <c r="G15" s="5" t="s">
        <v>10</v>
      </c>
      <c r="H15" s="5" t="s">
        <v>11</v>
      </c>
      <c r="I15" s="5" t="s">
        <v>12</v>
      </c>
      <c r="J15" s="5" t="s">
        <v>13</v>
      </c>
      <c r="K15" s="5" t="s">
        <v>14</v>
      </c>
      <c r="L15" s="5" t="s">
        <v>15</v>
      </c>
      <c r="M15" s="5" t="s">
        <v>16</v>
      </c>
      <c r="N15" s="5" t="s">
        <v>17</v>
      </c>
      <c r="O15" s="5" t="s">
        <v>18</v>
      </c>
      <c r="P15" s="5" t="s">
        <v>19</v>
      </c>
      <c r="Q15" s="5" t="s">
        <v>20</v>
      </c>
      <c r="R15" s="5" t="s">
        <v>21</v>
      </c>
      <c r="S15" s="5" t="s">
        <v>22</v>
      </c>
      <c r="T15" s="5" t="s">
        <v>23</v>
      </c>
      <c r="U15" s="5" t="s">
        <v>24</v>
      </c>
      <c r="V15" s="5" t="s">
        <v>113</v>
      </c>
      <c r="W15" s="5" t="s">
        <v>33</v>
      </c>
      <c r="X15" s="5" t="s">
        <v>34</v>
      </c>
      <c r="Y15" s="5" t="s">
        <v>35</v>
      </c>
      <c r="Z15" s="5" t="s">
        <v>36</v>
      </c>
      <c r="AA15" s="5" t="s">
        <v>37</v>
      </c>
      <c r="AB15" s="5" t="s">
        <v>38</v>
      </c>
      <c r="AC15" s="5" t="s">
        <v>39</v>
      </c>
      <c r="AD15" s="5" t="s">
        <v>40</v>
      </c>
      <c r="AE15" s="5" t="s">
        <v>41</v>
      </c>
    </row>
    <row r="16" spans="2:31" ht="38.25">
      <c r="C16" s="11" t="s">
        <v>64</v>
      </c>
      <c r="D16" s="11" t="s">
        <v>121</v>
      </c>
      <c r="E16" s="11" t="s">
        <v>122</v>
      </c>
      <c r="F16" s="11" t="s">
        <v>116</v>
      </c>
      <c r="G16" s="1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30</v>
      </c>
      <c r="S16" s="18">
        <f>SUM(G16:R16)</f>
        <v>30</v>
      </c>
      <c r="T16" s="40">
        <f>IFERROR(VLOOKUP(F16,Anexo!$C$8:$D$11,2,FALSE),"")</f>
        <v>4.53592E-4</v>
      </c>
      <c r="U16" s="39">
        <f>IFERROR(S16*T16,"")</f>
        <v>1.360776E-2</v>
      </c>
      <c r="V16" s="18">
        <f>IFERROR(VLOOKUP(E16,PCG!$L$8:$M$35,2,FALSE),"")</f>
        <v>2255.5</v>
      </c>
      <c r="W16" s="18">
        <f>IFERROR(U16*V16,"")</f>
        <v>30.692302680000001</v>
      </c>
      <c r="X16" s="18">
        <f>COUNTIF(H16:R16,"&gt;0")</f>
        <v>1</v>
      </c>
      <c r="Y16" s="18">
        <f>IF(X16&gt;1,AVERAGE(H16:R16),0)</f>
        <v>0</v>
      </c>
      <c r="Z16" s="18">
        <f>IF(X16&gt;1,STDEV(H16:R16),0)</f>
        <v>0</v>
      </c>
      <c r="AA16" s="18">
        <f>IF(X16&gt;1,VLOOKUP(X16,Anexo!$G$7:$H$19,2,FALSE),0)</f>
        <v>0</v>
      </c>
      <c r="AB16" s="30">
        <f>IF(X16&gt;1,1-((Y16-((Z16*AA16)/(SQRT(X16))))/Y16),AC16)</f>
        <v>0.5</v>
      </c>
      <c r="AC16" s="30">
        <f>IF(X16&gt;0,VLOOKUP(E16,PCG!$L$8:$N$27,3,FALSE),0)</f>
        <v>0.5</v>
      </c>
      <c r="AD16" s="30">
        <f>SQRT((AB16*AB16)+(AC16*AC16))</f>
        <v>0.70710678118654757</v>
      </c>
      <c r="AE16" s="18">
        <f>IFERROR((W16*AD16)^2,0)</f>
        <v>471.00872190036773</v>
      </c>
    </row>
    <row r="17" spans="3:31" ht="38.25">
      <c r="C17" s="11" t="s">
        <v>64</v>
      </c>
      <c r="D17" s="11" t="s">
        <v>123</v>
      </c>
      <c r="E17" s="11" t="s">
        <v>124</v>
      </c>
      <c r="F17" s="11" t="s">
        <v>116</v>
      </c>
      <c r="G17" s="1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30</v>
      </c>
      <c r="S17" s="18">
        <f>SUM(G17:R17)</f>
        <v>30</v>
      </c>
      <c r="T17" s="40">
        <f>IFERROR(VLOOKUP(F17,Anexo!$C$8:$D$11,2,FALSE),"")</f>
        <v>4.53592E-4</v>
      </c>
      <c r="U17" s="39">
        <f>IFERROR(S17*T17,"")</f>
        <v>1.360776E-2</v>
      </c>
      <c r="V17" s="18">
        <f>IFERROR(VLOOKUP(E17,PCG!$L$8:$M$35,2,FALSE),"")</f>
        <v>1960</v>
      </c>
      <c r="W17" s="18">
        <f t="shared" ref="W17" si="5">IFERROR(U17*V17,"")</f>
        <v>26.671209600000001</v>
      </c>
      <c r="X17" s="18">
        <f>COUNTIF(H17:R17,"&gt;0")</f>
        <v>1</v>
      </c>
      <c r="Y17" s="18">
        <f>IF(X17&gt;1,AVERAGE(H17:R17),0)</f>
        <v>0</v>
      </c>
      <c r="Z17" s="18">
        <f>IF(X17&gt;1,STDEV(H17:R17),0)</f>
        <v>0</v>
      </c>
      <c r="AA17" s="18">
        <f>IF(X17&gt;1,VLOOKUP(X17,Anexo!$G$7:$H$19,2,FALSE),0)</f>
        <v>0</v>
      </c>
      <c r="AB17" s="30">
        <f t="shared" ref="AB17" si="6">IF(X17&gt;1,1-((Y17-((Z17*AA17)/(SQRT(X17))))/Y17),AC17)</f>
        <v>0.5</v>
      </c>
      <c r="AC17" s="30">
        <f>IF(X17&gt;0,VLOOKUP(E17,PCG!$L$8:$N$27,3,FALSE),0)</f>
        <v>0.5</v>
      </c>
      <c r="AD17" s="30">
        <f t="shared" ref="AD17" si="7">SQRT((AB17*AB17)+(AC17*AC17))</f>
        <v>0.70710678118654757</v>
      </c>
      <c r="AE17" s="18">
        <f t="shared" ref="AE17" si="8">IFERROR((W17*AD17)^2,0)</f>
        <v>355.67671076356623</v>
      </c>
    </row>
    <row r="18" spans="3:31"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>
        <f>SUM(S16:S17)</f>
        <v>60</v>
      </c>
      <c r="T18" s="19"/>
      <c r="U18" s="29">
        <f>SUM(U16:U17)</f>
        <v>2.721552E-2</v>
      </c>
      <c r="V18" s="19"/>
      <c r="W18" s="29">
        <f>SUM(W16:W17)</f>
        <v>57.363512280000002</v>
      </c>
      <c r="AD18" s="31">
        <f>IF(W18&gt;0,SQRT(SUM(AE16:AE17))/W18,0)</f>
        <v>0.50122694265200729</v>
      </c>
      <c r="AE18" s="29">
        <f>(W18*AD18)^2</f>
        <v>826.68543266393374</v>
      </c>
    </row>
    <row r="19" spans="3:31" ht="12.75" customHeight="1">
      <c r="C19" s="34"/>
      <c r="D19" s="34"/>
      <c r="E19" s="34"/>
      <c r="F19" s="34"/>
      <c r="G19" s="34"/>
      <c r="H19" s="34"/>
      <c r="I19" s="34"/>
      <c r="J19" s="34"/>
    </row>
    <row r="20" spans="3:31" ht="12.75" hidden="1" customHeight="1">
      <c r="C20" s="198" t="s">
        <v>125</v>
      </c>
      <c r="D20" s="198"/>
      <c r="E20" s="198"/>
      <c r="F20" s="198"/>
      <c r="G20" s="198"/>
      <c r="H20" s="198"/>
      <c r="I20" s="198"/>
      <c r="J20" s="198"/>
    </row>
    <row r="21" spans="3:31" ht="12.75" hidden="1" customHeight="1">
      <c r="C21" s="34"/>
      <c r="D21" s="34"/>
      <c r="E21" s="34"/>
      <c r="F21" s="34"/>
      <c r="G21" s="34"/>
      <c r="H21" s="34"/>
      <c r="I21" s="34"/>
      <c r="J21" s="34"/>
    </row>
    <row r="22" spans="3:31" ht="53.25" hidden="1" customHeight="1">
      <c r="C22" s="6" t="s">
        <v>6</v>
      </c>
      <c r="D22" s="7" t="s">
        <v>7</v>
      </c>
      <c r="E22" s="7" t="s">
        <v>112</v>
      </c>
      <c r="F22" s="7" t="s">
        <v>9</v>
      </c>
      <c r="G22" s="5" t="s">
        <v>126</v>
      </c>
      <c r="H22" s="7" t="s">
        <v>127</v>
      </c>
      <c r="I22" s="5" t="s">
        <v>23</v>
      </c>
      <c r="J22" s="5" t="s">
        <v>128</v>
      </c>
      <c r="K22" s="5" t="s">
        <v>129</v>
      </c>
      <c r="L22" s="5" t="s">
        <v>130</v>
      </c>
      <c r="M22" s="5" t="s">
        <v>113</v>
      </c>
      <c r="N22" s="5" t="s">
        <v>33</v>
      </c>
      <c r="O22" s="5" t="s">
        <v>34</v>
      </c>
      <c r="P22" s="5" t="s">
        <v>35</v>
      </c>
      <c r="Q22" s="5" t="s">
        <v>36</v>
      </c>
      <c r="R22" s="5" t="s">
        <v>37</v>
      </c>
      <c r="S22" s="5" t="s">
        <v>38</v>
      </c>
      <c r="T22" s="5" t="s">
        <v>39</v>
      </c>
      <c r="U22" s="5" t="s">
        <v>40</v>
      </c>
      <c r="V22" s="5" t="s">
        <v>41</v>
      </c>
    </row>
    <row r="23" spans="3:31" ht="12.75" hidden="1" customHeight="1">
      <c r="C23" s="11"/>
      <c r="D23" s="11"/>
      <c r="E23" s="11"/>
      <c r="F23" s="11"/>
      <c r="G23" s="17"/>
      <c r="H23" s="17"/>
      <c r="I23" s="40" t="str">
        <f>IFERROR(VLOOKUP(F23,Anexo!$C$8:$D$11,2,FALSE),"")</f>
        <v/>
      </c>
      <c r="J23" s="18" t="str">
        <f>IFERROR(G23*I23,"")</f>
        <v/>
      </c>
      <c r="K23" s="59" t="str">
        <f>IFERROR(VLOOKUP(H23,Anexo!$J$8:$K$15,2,FALSE),"")</f>
        <v/>
      </c>
      <c r="L23" s="18" t="str">
        <f>IFERROR(J23*K23,"")</f>
        <v/>
      </c>
      <c r="M23" s="18" t="str">
        <f>IFERROR(VLOOKUP(E23,PCG!$L$8:$M$35,2,FALSE),"")</f>
        <v/>
      </c>
      <c r="N23" s="18" t="str">
        <f>IFERROR(L23*M23,"")</f>
        <v/>
      </c>
      <c r="O23" s="18">
        <f>COUNTIF(G23,"&gt;0")</f>
        <v>0</v>
      </c>
      <c r="P23" s="18">
        <f>IF(O23&gt;1,AVERAGE(#REF!),0)</f>
        <v>0</v>
      </c>
      <c r="Q23" s="18">
        <f>IF(O23&gt;1,STDEV(O23),0)</f>
        <v>0</v>
      </c>
      <c r="R23" s="18">
        <f>IF(O23&gt;1,VLOOKUP(O23,Anexo!$G$7:$H$19,2,FALSE),0)</f>
        <v>0</v>
      </c>
      <c r="S23" s="30">
        <f>IF(O23&gt;1,1-((P23-((Q23*R23)/(SQRT(O23))))/P23),T23)</f>
        <v>0</v>
      </c>
      <c r="T23" s="30">
        <f>IF(O23&gt;0,VLOOKUP(E23,PCG!$L$8:$O$35,3,FALSE),0)</f>
        <v>0</v>
      </c>
      <c r="U23" s="30">
        <f>SQRT((S23*S23)+(T23*T23))</f>
        <v>0</v>
      </c>
      <c r="V23" s="18">
        <f>IFERROR((N23*U23)^2,0)</f>
        <v>0</v>
      </c>
    </row>
    <row r="24" spans="3:31" ht="12.75" hidden="1" customHeight="1">
      <c r="C24" s="11"/>
      <c r="D24" s="11"/>
      <c r="E24" s="11"/>
      <c r="F24" s="11"/>
      <c r="G24" s="17"/>
      <c r="H24" s="17"/>
      <c r="I24" s="40" t="str">
        <f>IFERROR(VLOOKUP(F24,Anexo!$C$8:$D$11,2,FALSE),"")</f>
        <v/>
      </c>
      <c r="J24" s="18" t="str">
        <f t="shared" ref="J24:J39" si="9">IFERROR(G24*I24,"")</f>
        <v/>
      </c>
      <c r="K24" s="59" t="str">
        <f>IFERROR(VLOOKUP(H24,Anexo!$J$8:$K$15,2,FALSE),"")</f>
        <v/>
      </c>
      <c r="L24" s="18" t="str">
        <f t="shared" ref="L24:L39" si="10">IFERROR(J24*K24,"")</f>
        <v/>
      </c>
      <c r="M24" s="18" t="str">
        <f>IFERROR(VLOOKUP(E24,PCG!$L$8:$M$35,2,FALSE),"")</f>
        <v/>
      </c>
      <c r="N24" s="18" t="str">
        <f t="shared" ref="N24:N39" si="11">IFERROR(L24*M24,"")</f>
        <v/>
      </c>
      <c r="O24" s="18">
        <f t="shared" ref="O24:O39" si="12">COUNTIF(G24,"&gt;0")</f>
        <v>0</v>
      </c>
      <c r="P24" s="18">
        <f>IF(O24&gt;1,AVERAGE(#REF!),0)</f>
        <v>0</v>
      </c>
      <c r="Q24" s="18">
        <f t="shared" ref="Q24:Q39" si="13">IF(O24&gt;1,STDEV(O24),0)</f>
        <v>0</v>
      </c>
      <c r="R24" s="18">
        <f>IF(O24&gt;1,VLOOKUP(O24,Anexo!$G$7:$H$19,2,FALSE),0)</f>
        <v>0</v>
      </c>
      <c r="S24" s="30">
        <f t="shared" ref="S24:S39" si="14">IF(O24&gt;1,1-((P24-((Q24*R24)/(SQRT(O24))))/P24),T24)</f>
        <v>0</v>
      </c>
      <c r="T24" s="30">
        <f>IF(O24&gt;0,VLOOKUP(E24,PCG!$L$8:$O$35,3,FALSE),0)</f>
        <v>0</v>
      </c>
      <c r="U24" s="30">
        <f t="shared" ref="U24:U39" si="15">SQRT((S24*S24)+(T24*T24))</f>
        <v>0</v>
      </c>
      <c r="V24" s="18">
        <f t="shared" ref="V24:V39" si="16">IFERROR((N24*U24)^2,0)</f>
        <v>0</v>
      </c>
    </row>
    <row r="25" spans="3:31" ht="12.75" hidden="1" customHeight="1">
      <c r="C25" s="11"/>
      <c r="D25" s="11"/>
      <c r="E25" s="11"/>
      <c r="F25" s="11"/>
      <c r="G25" s="17"/>
      <c r="H25" s="17"/>
      <c r="I25" s="40" t="str">
        <f>IFERROR(VLOOKUP(F25,Anexo!$C$8:$D$11,2,FALSE),"")</f>
        <v/>
      </c>
      <c r="J25" s="18" t="str">
        <f t="shared" si="9"/>
        <v/>
      </c>
      <c r="K25" s="59" t="str">
        <f>IFERROR(VLOOKUP(H25,Anexo!$J$8:$K$15,2,FALSE),"")</f>
        <v/>
      </c>
      <c r="L25" s="18" t="str">
        <f t="shared" si="10"/>
        <v/>
      </c>
      <c r="M25" s="18" t="str">
        <f>IFERROR(VLOOKUP(E25,PCG!$L$8:$M$35,2,FALSE),"")</f>
        <v/>
      </c>
      <c r="N25" s="18" t="str">
        <f t="shared" si="11"/>
        <v/>
      </c>
      <c r="O25" s="18">
        <f t="shared" si="12"/>
        <v>0</v>
      </c>
      <c r="P25" s="18">
        <f>IF(O25&gt;1,AVERAGE(#REF!),0)</f>
        <v>0</v>
      </c>
      <c r="Q25" s="18">
        <f t="shared" si="13"/>
        <v>0</v>
      </c>
      <c r="R25" s="18">
        <f>IF(O25&gt;1,VLOOKUP(O25,Anexo!$G$7:$H$19,2,FALSE),0)</f>
        <v>0</v>
      </c>
      <c r="S25" s="30">
        <f t="shared" si="14"/>
        <v>0</v>
      </c>
      <c r="T25" s="30">
        <f>IF(O25&gt;0,VLOOKUP(E25,PCG!$L$8:$O$35,3,FALSE),0)</f>
        <v>0</v>
      </c>
      <c r="U25" s="30">
        <f t="shared" si="15"/>
        <v>0</v>
      </c>
      <c r="V25" s="18">
        <f t="shared" si="16"/>
        <v>0</v>
      </c>
    </row>
    <row r="26" spans="3:31" ht="12.75" hidden="1" customHeight="1">
      <c r="C26" s="11"/>
      <c r="D26" s="11"/>
      <c r="E26" s="11"/>
      <c r="F26" s="11"/>
      <c r="G26" s="17"/>
      <c r="H26" s="17"/>
      <c r="I26" s="40" t="str">
        <f>IFERROR(VLOOKUP(F26,Anexo!$C$8:$D$11,2,FALSE),"")</f>
        <v/>
      </c>
      <c r="J26" s="18" t="str">
        <f t="shared" si="9"/>
        <v/>
      </c>
      <c r="K26" s="59" t="str">
        <f>IFERROR(VLOOKUP(H26,Anexo!$J$8:$K$15,2,FALSE),"")</f>
        <v/>
      </c>
      <c r="L26" s="18" t="str">
        <f t="shared" si="10"/>
        <v/>
      </c>
      <c r="M26" s="18" t="str">
        <f>IFERROR(VLOOKUP(E26,PCG!$L$8:$M$35,2,FALSE),"")</f>
        <v/>
      </c>
      <c r="N26" s="18" t="str">
        <f t="shared" si="11"/>
        <v/>
      </c>
      <c r="O26" s="18">
        <f t="shared" si="12"/>
        <v>0</v>
      </c>
      <c r="P26" s="18">
        <f>IF(O26&gt;1,AVERAGE(#REF!),0)</f>
        <v>0</v>
      </c>
      <c r="Q26" s="18">
        <f t="shared" si="13"/>
        <v>0</v>
      </c>
      <c r="R26" s="18">
        <f>IF(O26&gt;1,VLOOKUP(O26,Anexo!$G$7:$H$19,2,FALSE),0)</f>
        <v>0</v>
      </c>
      <c r="S26" s="30">
        <f t="shared" si="14"/>
        <v>0</v>
      </c>
      <c r="T26" s="30">
        <f>IF(O26&gt;0,VLOOKUP(E26,PCG!$L$8:$O$35,3,FALSE),0)</f>
        <v>0</v>
      </c>
      <c r="U26" s="30">
        <f t="shared" si="15"/>
        <v>0</v>
      </c>
      <c r="V26" s="18">
        <f t="shared" si="16"/>
        <v>0</v>
      </c>
    </row>
    <row r="27" spans="3:31" ht="12.75" hidden="1" customHeight="1">
      <c r="C27" s="11"/>
      <c r="D27" s="11"/>
      <c r="E27" s="11"/>
      <c r="F27" s="11"/>
      <c r="G27" s="17"/>
      <c r="H27" s="17"/>
      <c r="I27" s="40" t="str">
        <f>IFERROR(VLOOKUP(F27,Anexo!$C$8:$D$11,2,FALSE),"")</f>
        <v/>
      </c>
      <c r="J27" s="18" t="str">
        <f t="shared" si="9"/>
        <v/>
      </c>
      <c r="K27" s="59" t="str">
        <f>IFERROR(VLOOKUP(H27,Anexo!$J$8:$K$15,2,FALSE),"")</f>
        <v/>
      </c>
      <c r="L27" s="18" t="str">
        <f t="shared" si="10"/>
        <v/>
      </c>
      <c r="M27" s="18" t="str">
        <f>IFERROR(VLOOKUP(E27,PCG!$L$8:$M$35,2,FALSE),"")</f>
        <v/>
      </c>
      <c r="N27" s="18" t="str">
        <f t="shared" si="11"/>
        <v/>
      </c>
      <c r="O27" s="18">
        <f t="shared" si="12"/>
        <v>0</v>
      </c>
      <c r="P27" s="18">
        <f>IF(O27&gt;1,AVERAGE(#REF!),0)</f>
        <v>0</v>
      </c>
      <c r="Q27" s="18">
        <f t="shared" si="13"/>
        <v>0</v>
      </c>
      <c r="R27" s="18">
        <f>IF(O27&gt;1,VLOOKUP(O27,Anexo!$G$7:$H$19,2,FALSE),0)</f>
        <v>0</v>
      </c>
      <c r="S27" s="30">
        <f t="shared" si="14"/>
        <v>0</v>
      </c>
      <c r="T27" s="30">
        <f>IF(O27&gt;0,VLOOKUP(E27,PCG!$L$8:$O$35,3,FALSE),0)</f>
        <v>0</v>
      </c>
      <c r="U27" s="30">
        <f t="shared" si="15"/>
        <v>0</v>
      </c>
      <c r="V27" s="18">
        <f t="shared" si="16"/>
        <v>0</v>
      </c>
    </row>
    <row r="28" spans="3:31" ht="12.75" hidden="1" customHeight="1">
      <c r="C28" s="11"/>
      <c r="D28" s="11"/>
      <c r="E28" s="11"/>
      <c r="F28" s="11"/>
      <c r="G28" s="17"/>
      <c r="H28" s="17"/>
      <c r="I28" s="40" t="str">
        <f>IFERROR(VLOOKUP(F28,Anexo!$C$8:$D$11,2,FALSE),"")</f>
        <v/>
      </c>
      <c r="J28" s="18" t="str">
        <f t="shared" si="9"/>
        <v/>
      </c>
      <c r="K28" s="59" t="str">
        <f>IFERROR(VLOOKUP(H28,Anexo!$J$8:$K$15,2,FALSE),"")</f>
        <v/>
      </c>
      <c r="L28" s="18" t="str">
        <f t="shared" si="10"/>
        <v/>
      </c>
      <c r="M28" s="18" t="str">
        <f>IFERROR(VLOOKUP(E28,PCG!$L$8:$M$35,2,FALSE),"")</f>
        <v/>
      </c>
      <c r="N28" s="18" t="str">
        <f t="shared" si="11"/>
        <v/>
      </c>
      <c r="O28" s="18">
        <f t="shared" si="12"/>
        <v>0</v>
      </c>
      <c r="P28" s="18">
        <f>IF(O28&gt;1,AVERAGE(#REF!),0)</f>
        <v>0</v>
      </c>
      <c r="Q28" s="18">
        <f t="shared" si="13"/>
        <v>0</v>
      </c>
      <c r="R28" s="18">
        <f>IF(O28&gt;1,VLOOKUP(O28,Anexo!$G$7:$H$19,2,FALSE),0)</f>
        <v>0</v>
      </c>
      <c r="S28" s="30">
        <f t="shared" si="14"/>
        <v>0</v>
      </c>
      <c r="T28" s="30">
        <f>IF(O28&gt;0,VLOOKUP(E28,PCG!$L$8:$O$35,3,FALSE),0)</f>
        <v>0</v>
      </c>
      <c r="U28" s="30">
        <f t="shared" si="15"/>
        <v>0</v>
      </c>
      <c r="V28" s="18">
        <f t="shared" si="16"/>
        <v>0</v>
      </c>
    </row>
    <row r="29" spans="3:31" ht="12.75" hidden="1" customHeight="1">
      <c r="C29" s="11"/>
      <c r="D29" s="11"/>
      <c r="E29" s="11"/>
      <c r="F29" s="11"/>
      <c r="G29" s="17"/>
      <c r="H29" s="17"/>
      <c r="I29" s="40" t="str">
        <f>IFERROR(VLOOKUP(F29,Anexo!$C$8:$D$11,2,FALSE),"")</f>
        <v/>
      </c>
      <c r="J29" s="18" t="str">
        <f t="shared" si="9"/>
        <v/>
      </c>
      <c r="K29" s="59" t="str">
        <f>IFERROR(VLOOKUP(H29,Anexo!$J$8:$K$15,2,FALSE),"")</f>
        <v/>
      </c>
      <c r="L29" s="18" t="str">
        <f t="shared" si="10"/>
        <v/>
      </c>
      <c r="M29" s="18" t="str">
        <f>IFERROR(VLOOKUP(E29,PCG!$L$8:$M$35,2,FALSE),"")</f>
        <v/>
      </c>
      <c r="N29" s="18" t="str">
        <f t="shared" si="11"/>
        <v/>
      </c>
      <c r="O29" s="18">
        <f t="shared" si="12"/>
        <v>0</v>
      </c>
      <c r="P29" s="18">
        <f>IF(O29&gt;1,AVERAGE(#REF!),0)</f>
        <v>0</v>
      </c>
      <c r="Q29" s="18">
        <f t="shared" si="13"/>
        <v>0</v>
      </c>
      <c r="R29" s="18">
        <f>IF(O29&gt;1,VLOOKUP(O29,Anexo!$G$7:$H$19,2,FALSE),0)</f>
        <v>0</v>
      </c>
      <c r="S29" s="30">
        <f t="shared" si="14"/>
        <v>0</v>
      </c>
      <c r="T29" s="30">
        <f>IF(O29&gt;0,VLOOKUP(E29,PCG!$L$8:$O$35,3,FALSE),0)</f>
        <v>0</v>
      </c>
      <c r="U29" s="30">
        <f t="shared" si="15"/>
        <v>0</v>
      </c>
      <c r="V29" s="18">
        <f t="shared" si="16"/>
        <v>0</v>
      </c>
    </row>
    <row r="30" spans="3:31" ht="12.75" hidden="1" customHeight="1">
      <c r="C30" s="11"/>
      <c r="D30" s="11"/>
      <c r="E30" s="11"/>
      <c r="F30" s="11"/>
      <c r="G30" s="17"/>
      <c r="H30" s="17"/>
      <c r="I30" s="40" t="str">
        <f>IFERROR(VLOOKUP(F30,Anexo!$C$8:$D$11,2,FALSE),"")</f>
        <v/>
      </c>
      <c r="J30" s="18" t="str">
        <f t="shared" si="9"/>
        <v/>
      </c>
      <c r="K30" s="59" t="str">
        <f>IFERROR(VLOOKUP(H30,Anexo!$J$8:$K$15,2,FALSE),"")</f>
        <v/>
      </c>
      <c r="L30" s="18" t="str">
        <f t="shared" si="10"/>
        <v/>
      </c>
      <c r="M30" s="18" t="str">
        <f>IFERROR(VLOOKUP(E30,PCG!$L$8:$M$35,2,FALSE),"")</f>
        <v/>
      </c>
      <c r="N30" s="18" t="str">
        <f t="shared" si="11"/>
        <v/>
      </c>
      <c r="O30" s="18">
        <f t="shared" si="12"/>
        <v>0</v>
      </c>
      <c r="P30" s="18">
        <f>IF(O30&gt;1,AVERAGE(#REF!),0)</f>
        <v>0</v>
      </c>
      <c r="Q30" s="18">
        <f t="shared" si="13"/>
        <v>0</v>
      </c>
      <c r="R30" s="18">
        <f>IF(O30&gt;1,VLOOKUP(O30,Anexo!$G$7:$H$19,2,FALSE),0)</f>
        <v>0</v>
      </c>
      <c r="S30" s="30">
        <f t="shared" si="14"/>
        <v>0</v>
      </c>
      <c r="T30" s="30">
        <f>IF(O30&gt;0,VLOOKUP(E30,PCG!$L$8:$O$35,3,FALSE),0)</f>
        <v>0</v>
      </c>
      <c r="U30" s="30">
        <f t="shared" si="15"/>
        <v>0</v>
      </c>
      <c r="V30" s="18">
        <f t="shared" si="16"/>
        <v>0</v>
      </c>
    </row>
    <row r="31" spans="3:31" ht="12.75" hidden="1" customHeight="1">
      <c r="C31" s="11"/>
      <c r="D31" s="11"/>
      <c r="E31" s="11"/>
      <c r="F31" s="11"/>
      <c r="G31" s="17"/>
      <c r="H31" s="17"/>
      <c r="I31" s="40" t="str">
        <f>IFERROR(VLOOKUP(F31,Anexo!$C$8:$D$11,2,FALSE),"")</f>
        <v/>
      </c>
      <c r="J31" s="18" t="str">
        <f t="shared" si="9"/>
        <v/>
      </c>
      <c r="K31" s="59" t="str">
        <f>IFERROR(VLOOKUP(H31,Anexo!$J$8:$K$15,2,FALSE),"")</f>
        <v/>
      </c>
      <c r="L31" s="18" t="str">
        <f t="shared" si="10"/>
        <v/>
      </c>
      <c r="M31" s="18" t="str">
        <f>IFERROR(VLOOKUP(E31,PCG!$L$8:$M$35,2,FALSE),"")</f>
        <v/>
      </c>
      <c r="N31" s="18" t="str">
        <f t="shared" si="11"/>
        <v/>
      </c>
      <c r="O31" s="18">
        <f t="shared" si="12"/>
        <v>0</v>
      </c>
      <c r="P31" s="18">
        <f>IF(O31&gt;1,AVERAGE(#REF!),0)</f>
        <v>0</v>
      </c>
      <c r="Q31" s="18">
        <f t="shared" si="13"/>
        <v>0</v>
      </c>
      <c r="R31" s="18">
        <f>IF(O31&gt;1,VLOOKUP(O31,Anexo!$G$7:$H$19,2,FALSE),0)</f>
        <v>0</v>
      </c>
      <c r="S31" s="30">
        <f t="shared" si="14"/>
        <v>0</v>
      </c>
      <c r="T31" s="30">
        <f>IF(O31&gt;0,VLOOKUP(E31,PCG!$L$8:$O$35,3,FALSE),0)</f>
        <v>0</v>
      </c>
      <c r="U31" s="30">
        <f t="shared" si="15"/>
        <v>0</v>
      </c>
      <c r="V31" s="18">
        <f t="shared" si="16"/>
        <v>0</v>
      </c>
    </row>
    <row r="32" spans="3:31" ht="12.75" hidden="1" customHeight="1">
      <c r="C32" s="11"/>
      <c r="D32" s="11"/>
      <c r="E32" s="11"/>
      <c r="F32" s="11"/>
      <c r="G32" s="17"/>
      <c r="H32" s="17"/>
      <c r="I32" s="40" t="str">
        <f>IFERROR(VLOOKUP(F32,Anexo!$C$8:$D$11,2,FALSE),"")</f>
        <v/>
      </c>
      <c r="J32" s="18" t="str">
        <f t="shared" si="9"/>
        <v/>
      </c>
      <c r="K32" s="59" t="str">
        <f>IFERROR(VLOOKUP(H32,Anexo!$J$8:$K$15,2,FALSE),"")</f>
        <v/>
      </c>
      <c r="L32" s="18" t="str">
        <f t="shared" si="10"/>
        <v/>
      </c>
      <c r="M32" s="18" t="str">
        <f>IFERROR(VLOOKUP(E32,PCG!$L$8:$M$35,2,FALSE),"")</f>
        <v/>
      </c>
      <c r="N32" s="18" t="str">
        <f t="shared" si="11"/>
        <v/>
      </c>
      <c r="O32" s="18">
        <f t="shared" si="12"/>
        <v>0</v>
      </c>
      <c r="P32" s="18">
        <f>IF(O32&gt;1,AVERAGE(#REF!),0)</f>
        <v>0</v>
      </c>
      <c r="Q32" s="18">
        <f t="shared" si="13"/>
        <v>0</v>
      </c>
      <c r="R32" s="18">
        <f>IF(O32&gt;1,VLOOKUP(O32,Anexo!$G$7:$H$19,2,FALSE),0)</f>
        <v>0</v>
      </c>
      <c r="S32" s="30">
        <f t="shared" si="14"/>
        <v>0</v>
      </c>
      <c r="T32" s="30">
        <f>IF(O32&gt;0,VLOOKUP(E32,PCG!$L$8:$O$35,3,FALSE),0)</f>
        <v>0</v>
      </c>
      <c r="U32" s="30">
        <f t="shared" si="15"/>
        <v>0</v>
      </c>
      <c r="V32" s="18">
        <f t="shared" si="16"/>
        <v>0</v>
      </c>
    </row>
    <row r="33" spans="2:22" ht="12.75" hidden="1" customHeight="1">
      <c r="C33" s="11"/>
      <c r="D33" s="11"/>
      <c r="E33" s="11"/>
      <c r="F33" s="11"/>
      <c r="G33" s="17"/>
      <c r="H33" s="17"/>
      <c r="I33" s="40" t="str">
        <f>IFERROR(VLOOKUP(F33,Anexo!$C$8:$D$11,2,FALSE),"")</f>
        <v/>
      </c>
      <c r="J33" s="18" t="str">
        <f t="shared" si="9"/>
        <v/>
      </c>
      <c r="K33" s="59" t="str">
        <f>IFERROR(VLOOKUP(H33,Anexo!$J$8:$K$15,2,FALSE),"")</f>
        <v/>
      </c>
      <c r="L33" s="18" t="str">
        <f t="shared" si="10"/>
        <v/>
      </c>
      <c r="M33" s="18" t="str">
        <f>IFERROR(VLOOKUP(E33,PCG!$L$8:$M$35,2,FALSE),"")</f>
        <v/>
      </c>
      <c r="N33" s="18" t="str">
        <f t="shared" si="11"/>
        <v/>
      </c>
      <c r="O33" s="18">
        <f t="shared" si="12"/>
        <v>0</v>
      </c>
      <c r="P33" s="18">
        <f>IF(O33&gt;1,AVERAGE(#REF!),0)</f>
        <v>0</v>
      </c>
      <c r="Q33" s="18">
        <f t="shared" si="13"/>
        <v>0</v>
      </c>
      <c r="R33" s="18">
        <f>IF(O33&gt;1,VLOOKUP(O33,Anexo!$G$7:$H$19,2,FALSE),0)</f>
        <v>0</v>
      </c>
      <c r="S33" s="30">
        <f t="shared" si="14"/>
        <v>0</v>
      </c>
      <c r="T33" s="30">
        <f>IF(O33&gt;0,VLOOKUP(E33,PCG!$L$8:$O$35,3,FALSE),0)</f>
        <v>0</v>
      </c>
      <c r="U33" s="30">
        <f t="shared" si="15"/>
        <v>0</v>
      </c>
      <c r="V33" s="18">
        <f t="shared" si="16"/>
        <v>0</v>
      </c>
    </row>
    <row r="34" spans="2:22" ht="12.75" hidden="1" customHeight="1">
      <c r="C34" s="11"/>
      <c r="D34" s="11"/>
      <c r="E34" s="11"/>
      <c r="F34" s="11"/>
      <c r="G34" s="17"/>
      <c r="H34" s="17"/>
      <c r="I34" s="40" t="str">
        <f>IFERROR(VLOOKUP(F34,Anexo!$C$8:$D$11,2,FALSE),"")</f>
        <v/>
      </c>
      <c r="J34" s="18" t="str">
        <f t="shared" si="9"/>
        <v/>
      </c>
      <c r="K34" s="59" t="str">
        <f>IFERROR(VLOOKUP(H34,Anexo!$J$8:$K$15,2,FALSE),"")</f>
        <v/>
      </c>
      <c r="L34" s="18" t="str">
        <f t="shared" si="10"/>
        <v/>
      </c>
      <c r="M34" s="18" t="str">
        <f>IFERROR(VLOOKUP(E34,PCG!$L$8:$M$35,2,FALSE),"")</f>
        <v/>
      </c>
      <c r="N34" s="18" t="str">
        <f t="shared" si="11"/>
        <v/>
      </c>
      <c r="O34" s="18">
        <f t="shared" si="12"/>
        <v>0</v>
      </c>
      <c r="P34" s="18">
        <f>IF(O34&gt;1,AVERAGE(#REF!),0)</f>
        <v>0</v>
      </c>
      <c r="Q34" s="18">
        <f t="shared" si="13"/>
        <v>0</v>
      </c>
      <c r="R34" s="18">
        <f>IF(O34&gt;1,VLOOKUP(O34,Anexo!$G$7:$H$19,2,FALSE),0)</f>
        <v>0</v>
      </c>
      <c r="S34" s="30">
        <f t="shared" si="14"/>
        <v>0</v>
      </c>
      <c r="T34" s="30">
        <f>IF(O34&gt;0,VLOOKUP(E34,PCG!$L$8:$O$35,3,FALSE),0)</f>
        <v>0</v>
      </c>
      <c r="U34" s="30">
        <f t="shared" si="15"/>
        <v>0</v>
      </c>
      <c r="V34" s="18">
        <f t="shared" si="16"/>
        <v>0</v>
      </c>
    </row>
    <row r="35" spans="2:22" ht="12.75" hidden="1" customHeight="1">
      <c r="C35" s="11"/>
      <c r="D35" s="11"/>
      <c r="E35" s="11"/>
      <c r="F35" s="11"/>
      <c r="G35" s="17"/>
      <c r="H35" s="17"/>
      <c r="I35" s="40" t="str">
        <f>IFERROR(VLOOKUP(F35,Anexo!$C$8:$D$11,2,FALSE),"")</f>
        <v/>
      </c>
      <c r="J35" s="18" t="str">
        <f t="shared" si="9"/>
        <v/>
      </c>
      <c r="K35" s="59" t="str">
        <f>IFERROR(VLOOKUP(H35,Anexo!$J$8:$K$15,2,FALSE),"")</f>
        <v/>
      </c>
      <c r="L35" s="18" t="str">
        <f t="shared" si="10"/>
        <v/>
      </c>
      <c r="M35" s="18" t="str">
        <f>IFERROR(VLOOKUP(E35,PCG!$L$8:$M$35,2,FALSE),"")</f>
        <v/>
      </c>
      <c r="N35" s="18" t="str">
        <f t="shared" si="11"/>
        <v/>
      </c>
      <c r="O35" s="18">
        <f t="shared" si="12"/>
        <v>0</v>
      </c>
      <c r="P35" s="18">
        <f>IF(O35&gt;1,AVERAGE(#REF!),0)</f>
        <v>0</v>
      </c>
      <c r="Q35" s="18">
        <f t="shared" si="13"/>
        <v>0</v>
      </c>
      <c r="R35" s="18">
        <f>IF(O35&gt;1,VLOOKUP(O35,Anexo!$G$7:$H$19,2,FALSE),0)</f>
        <v>0</v>
      </c>
      <c r="S35" s="30">
        <f t="shared" si="14"/>
        <v>0</v>
      </c>
      <c r="T35" s="30">
        <f>IF(O35&gt;0,VLOOKUP(E35,PCG!$L$8:$O$35,3,FALSE),0)</f>
        <v>0</v>
      </c>
      <c r="U35" s="30">
        <f t="shared" si="15"/>
        <v>0</v>
      </c>
      <c r="V35" s="18">
        <f t="shared" si="16"/>
        <v>0</v>
      </c>
    </row>
    <row r="36" spans="2:22" ht="12.75" hidden="1" customHeight="1">
      <c r="C36" s="11"/>
      <c r="D36" s="11"/>
      <c r="E36" s="11"/>
      <c r="F36" s="11"/>
      <c r="G36" s="17"/>
      <c r="H36" s="17"/>
      <c r="I36" s="40" t="str">
        <f>IFERROR(VLOOKUP(F36,Anexo!$C$8:$D$11,2,FALSE),"")</f>
        <v/>
      </c>
      <c r="J36" s="18" t="str">
        <f t="shared" si="9"/>
        <v/>
      </c>
      <c r="K36" s="59" t="str">
        <f>IFERROR(VLOOKUP(H36,Anexo!$J$8:$K$15,2,FALSE),"")</f>
        <v/>
      </c>
      <c r="L36" s="18" t="str">
        <f t="shared" si="10"/>
        <v/>
      </c>
      <c r="M36" s="18" t="str">
        <f>IFERROR(VLOOKUP(E36,PCG!$L$8:$M$35,2,FALSE),"")</f>
        <v/>
      </c>
      <c r="N36" s="18" t="str">
        <f t="shared" si="11"/>
        <v/>
      </c>
      <c r="O36" s="18">
        <f t="shared" si="12"/>
        <v>0</v>
      </c>
      <c r="P36" s="18">
        <f>IF(O36&gt;1,AVERAGE(#REF!),0)</f>
        <v>0</v>
      </c>
      <c r="Q36" s="18">
        <f t="shared" si="13"/>
        <v>0</v>
      </c>
      <c r="R36" s="18">
        <f>IF(O36&gt;1,VLOOKUP(O36,Anexo!$G$7:$H$19,2,FALSE),0)</f>
        <v>0</v>
      </c>
      <c r="S36" s="30">
        <f t="shared" si="14"/>
        <v>0</v>
      </c>
      <c r="T36" s="30">
        <f>IF(O36&gt;0,VLOOKUP(E36,PCG!$L$8:$O$35,3,FALSE),0)</f>
        <v>0</v>
      </c>
      <c r="U36" s="30">
        <f t="shared" si="15"/>
        <v>0</v>
      </c>
      <c r="V36" s="18">
        <f t="shared" si="16"/>
        <v>0</v>
      </c>
    </row>
    <row r="37" spans="2:22" ht="12.75" hidden="1" customHeight="1">
      <c r="C37" s="11"/>
      <c r="D37" s="11"/>
      <c r="E37" s="11"/>
      <c r="F37" s="11"/>
      <c r="G37" s="17"/>
      <c r="H37" s="17"/>
      <c r="I37" s="40" t="str">
        <f>IFERROR(VLOOKUP(F37,Anexo!$C$8:$D$11,2,FALSE),"")</f>
        <v/>
      </c>
      <c r="J37" s="18" t="str">
        <f t="shared" si="9"/>
        <v/>
      </c>
      <c r="K37" s="59" t="str">
        <f>IFERROR(VLOOKUP(H37,Anexo!$J$8:$K$15,2,FALSE),"")</f>
        <v/>
      </c>
      <c r="L37" s="18" t="str">
        <f t="shared" si="10"/>
        <v/>
      </c>
      <c r="M37" s="18" t="str">
        <f>IFERROR(VLOOKUP(E37,PCG!$L$8:$M$35,2,FALSE),"")</f>
        <v/>
      </c>
      <c r="N37" s="18" t="str">
        <f t="shared" si="11"/>
        <v/>
      </c>
      <c r="O37" s="18">
        <f t="shared" si="12"/>
        <v>0</v>
      </c>
      <c r="P37" s="18">
        <f>IF(O37&gt;1,AVERAGE(#REF!),0)</f>
        <v>0</v>
      </c>
      <c r="Q37" s="18">
        <f t="shared" si="13"/>
        <v>0</v>
      </c>
      <c r="R37" s="18">
        <f>IF(O37&gt;1,VLOOKUP(O37,Anexo!$G$7:$H$19,2,FALSE),0)</f>
        <v>0</v>
      </c>
      <c r="S37" s="30">
        <f t="shared" si="14"/>
        <v>0</v>
      </c>
      <c r="T37" s="30">
        <f>IF(O37&gt;0,VLOOKUP(E37,PCG!$L$8:$O$35,3,FALSE),0)</f>
        <v>0</v>
      </c>
      <c r="U37" s="30">
        <f t="shared" si="15"/>
        <v>0</v>
      </c>
      <c r="V37" s="18">
        <f t="shared" si="16"/>
        <v>0</v>
      </c>
    </row>
    <row r="38" spans="2:22" ht="12.75" hidden="1" customHeight="1">
      <c r="C38" s="11"/>
      <c r="D38" s="11"/>
      <c r="E38" s="11"/>
      <c r="F38" s="11"/>
      <c r="G38" s="17"/>
      <c r="H38" s="17"/>
      <c r="I38" s="40" t="str">
        <f>IFERROR(VLOOKUP(F38,Anexo!$C$8:$D$11,2,FALSE),"")</f>
        <v/>
      </c>
      <c r="J38" s="18" t="str">
        <f t="shared" si="9"/>
        <v/>
      </c>
      <c r="K38" s="59" t="str">
        <f>IFERROR(VLOOKUP(H38,Anexo!$J$8:$K$15,2,FALSE),"")</f>
        <v/>
      </c>
      <c r="L38" s="18" t="str">
        <f t="shared" si="10"/>
        <v/>
      </c>
      <c r="M38" s="18" t="str">
        <f>IFERROR(VLOOKUP(E38,PCG!$L$8:$M$35,2,FALSE),"")</f>
        <v/>
      </c>
      <c r="N38" s="18" t="str">
        <f t="shared" si="11"/>
        <v/>
      </c>
      <c r="O38" s="18">
        <f t="shared" si="12"/>
        <v>0</v>
      </c>
      <c r="P38" s="18">
        <f>IF(O38&gt;1,AVERAGE(#REF!),0)</f>
        <v>0</v>
      </c>
      <c r="Q38" s="18">
        <f t="shared" si="13"/>
        <v>0</v>
      </c>
      <c r="R38" s="18">
        <f>IF(O38&gt;1,VLOOKUP(O38,Anexo!$G$7:$H$19,2,FALSE),0)</f>
        <v>0</v>
      </c>
      <c r="S38" s="30">
        <f t="shared" si="14"/>
        <v>0</v>
      </c>
      <c r="T38" s="30">
        <f>IF(O38&gt;0,VLOOKUP(E38,PCG!$L$8:$O$35,3,FALSE),0)</f>
        <v>0</v>
      </c>
      <c r="U38" s="30">
        <f t="shared" si="15"/>
        <v>0</v>
      </c>
      <c r="V38" s="18">
        <f t="shared" si="16"/>
        <v>0</v>
      </c>
    </row>
    <row r="39" spans="2:22" ht="12.75" hidden="1" customHeight="1">
      <c r="C39" s="11"/>
      <c r="D39" s="11"/>
      <c r="E39" s="11"/>
      <c r="F39" s="11"/>
      <c r="G39" s="17"/>
      <c r="H39" s="17"/>
      <c r="I39" s="40" t="str">
        <f>IFERROR(VLOOKUP(F39,Anexo!$C$8:$D$11,2,FALSE),"")</f>
        <v/>
      </c>
      <c r="J39" s="18" t="str">
        <f t="shared" si="9"/>
        <v/>
      </c>
      <c r="K39" s="59" t="str">
        <f>IFERROR(VLOOKUP(H39,Anexo!$J$8:$K$15,2,FALSE),"")</f>
        <v/>
      </c>
      <c r="L39" s="18" t="str">
        <f t="shared" si="10"/>
        <v/>
      </c>
      <c r="M39" s="18" t="str">
        <f>IFERROR(VLOOKUP(E39,PCG!$L$8:$M$35,2,FALSE),"")</f>
        <v/>
      </c>
      <c r="N39" s="18" t="str">
        <f t="shared" si="11"/>
        <v/>
      </c>
      <c r="O39" s="18">
        <f t="shared" si="12"/>
        <v>0</v>
      </c>
      <c r="P39" s="18">
        <f>IF(O39&gt;1,AVERAGE(#REF!),0)</f>
        <v>0</v>
      </c>
      <c r="Q39" s="18">
        <f t="shared" si="13"/>
        <v>0</v>
      </c>
      <c r="R39" s="18">
        <f>IF(O39&gt;1,VLOOKUP(O39,Anexo!$G$7:$H$19,2,FALSE),0)</f>
        <v>0</v>
      </c>
      <c r="S39" s="30">
        <f t="shared" si="14"/>
        <v>0</v>
      </c>
      <c r="T39" s="30">
        <f>IF(O39&gt;0,VLOOKUP(E39,PCG!$L$8:$O$35,3,FALSE),0)</f>
        <v>0</v>
      </c>
      <c r="U39" s="30">
        <f t="shared" si="15"/>
        <v>0</v>
      </c>
      <c r="V39" s="18">
        <f t="shared" si="16"/>
        <v>0</v>
      </c>
    </row>
    <row r="40" spans="2:22" ht="12.75" hidden="1" customHeight="1">
      <c r="C40" s="34"/>
      <c r="D40" s="34"/>
      <c r="E40" s="34"/>
      <c r="F40" s="34"/>
      <c r="G40" s="34"/>
      <c r="H40" s="34"/>
      <c r="I40" s="34"/>
      <c r="J40" s="34"/>
      <c r="L40" s="29">
        <f>SUM(L23:L39)</f>
        <v>0</v>
      </c>
      <c r="N40" s="29">
        <f>SUM(N23:N39)</f>
        <v>0</v>
      </c>
      <c r="U40" s="31">
        <f>IF(N40&gt;0,SQRT(SUM(V23:V39))/N40,0)</f>
        <v>0</v>
      </c>
      <c r="V40" s="29">
        <f>(N40*U40)^2</f>
        <v>0</v>
      </c>
    </row>
    <row r="41" spans="2:22" ht="12.75" hidden="1" customHeight="1">
      <c r="C41" s="34"/>
      <c r="D41" s="34"/>
      <c r="E41" s="34"/>
      <c r="F41" s="34"/>
      <c r="G41" s="34"/>
      <c r="H41" s="34"/>
      <c r="I41" s="34"/>
      <c r="J41" s="34"/>
    </row>
    <row r="43" spans="2:22" ht="12.75" customHeight="1">
      <c r="B43" s="191" t="s">
        <v>131</v>
      </c>
      <c r="C43" s="192"/>
      <c r="D43" s="192"/>
      <c r="E43" s="192"/>
      <c r="F43" s="193"/>
    </row>
    <row r="45" spans="2:22" ht="25.5">
      <c r="C45" s="2" t="s">
        <v>98</v>
      </c>
      <c r="D45" s="2" t="s">
        <v>99</v>
      </c>
      <c r="E45" s="2" t="s">
        <v>91</v>
      </c>
      <c r="F45" s="2" t="s">
        <v>132</v>
      </c>
      <c r="G45" s="2" t="s">
        <v>133</v>
      </c>
      <c r="H45" s="2" t="s">
        <v>102</v>
      </c>
      <c r="I45" s="2" t="s">
        <v>38</v>
      </c>
      <c r="J45" s="2" t="s">
        <v>103</v>
      </c>
    </row>
    <row r="46" spans="2:22">
      <c r="C46" s="2" t="s">
        <v>109</v>
      </c>
      <c r="D46" s="11" t="s">
        <v>110</v>
      </c>
      <c r="E46" s="17">
        <f ca="1">SUMIF(E9:U10,"CO2",U9:U10)</f>
        <v>0.18143680000000001</v>
      </c>
      <c r="F46" s="17">
        <f ca="1">U11-E46</f>
        <v>0</v>
      </c>
      <c r="G46" s="17">
        <v>0</v>
      </c>
      <c r="H46" s="17">
        <f>+W11</f>
        <v>0.18143680000000001</v>
      </c>
      <c r="I46" s="30">
        <f>IF(H46&gt;0,SQRT(AE11)/H46,0)</f>
        <v>0.625</v>
      </c>
      <c r="J46" s="18">
        <f>IFERROR((H46*I46)^2,0)</f>
        <v>1.2859106404E-2</v>
      </c>
    </row>
    <row r="47" spans="2:22" ht="25.5">
      <c r="C47" s="2" t="s">
        <v>118</v>
      </c>
      <c r="D47" s="11" t="s">
        <v>134</v>
      </c>
      <c r="E47" s="17">
        <v>0</v>
      </c>
      <c r="F47" s="17">
        <f ca="1">+U18+L40-G47</f>
        <v>2.721552E-2</v>
      </c>
      <c r="G47" s="17">
        <f ca="1">SUMIF(E16:U17,"SF6",U16:U17)</f>
        <v>0</v>
      </c>
      <c r="H47" s="17">
        <f>+W18+N40</f>
        <v>57.363512280000002</v>
      </c>
      <c r="I47" s="30">
        <f>IF(H47&gt;0,SQRT(AE18+V40)/H47,0)</f>
        <v>0.50122694265200729</v>
      </c>
      <c r="J47" s="18">
        <f t="shared" ref="J47" si="17">IFERROR((H47*I47)^2,0)</f>
        <v>826.68543266393374</v>
      </c>
    </row>
    <row r="48" spans="2:22">
      <c r="C48" s="189" t="s">
        <v>107</v>
      </c>
      <c r="D48" s="190"/>
      <c r="E48" s="29">
        <f ca="1">SUM(E46:E47)</f>
        <v>0.18143680000000001</v>
      </c>
      <c r="F48" s="29">
        <f ca="1">SUM(F46:F47)</f>
        <v>2.721552E-2</v>
      </c>
      <c r="G48" s="29">
        <f ca="1">SUM(G46:G47)</f>
        <v>0</v>
      </c>
      <c r="H48" s="29">
        <f>SUM(H46:H47)</f>
        <v>57.544949080000002</v>
      </c>
      <c r="I48" s="31">
        <f>IF(H48&gt;0,SQRT(J46+J47)/H48,0)</f>
        <v>0.49965048120988231</v>
      </c>
    </row>
  </sheetData>
  <mergeCells count="8">
    <mergeCell ref="C48:D48"/>
    <mergeCell ref="C20:J20"/>
    <mergeCell ref="B43:F43"/>
    <mergeCell ref="D2:L3"/>
    <mergeCell ref="C6:F6"/>
    <mergeCell ref="C7:F7"/>
    <mergeCell ref="C13:F13"/>
    <mergeCell ref="C14:J14"/>
  </mergeCells>
  <pageMargins left="0.7" right="0.7" top="0.75" bottom="0.75" header="0.3" footer="0.3"/>
  <pageSetup orientation="portrait" r:id="rId1"/>
  <ignoredErrors>
    <ignoredError sqref="V9:V1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A44CFC-EAC6-443E-B5E7-25B290F9A66E}">
          <x14:formula1>
            <xm:f>PCG!$G$8:$G$9</xm:f>
          </x14:formula1>
          <xm:sqref>E9:E10</xm:sqref>
        </x14:dataValidation>
        <x14:dataValidation type="list" allowBlank="1" showInputMessage="1" showErrorMessage="1" xr:uid="{29C6F969-D019-42A5-A7A9-46F7021AF974}">
          <x14:formula1>
            <xm:f>Anexo!$C$8:$C$11</xm:f>
          </x14:formula1>
          <xm:sqref>F9:F10 F16:F17 F23:F39</xm:sqref>
        </x14:dataValidation>
        <x14:dataValidation type="list" allowBlank="1" showInputMessage="1" showErrorMessage="1" xr:uid="{F21F3DD5-64F4-4756-9AF9-D35622CFDA48}">
          <x14:formula1>
            <xm:f>PCG!$L$8:$L$35</xm:f>
          </x14:formula1>
          <xm:sqref>E23:E39 E16:E17</xm:sqref>
        </x14:dataValidation>
        <x14:dataValidation type="list" allowBlank="1" showInputMessage="1" showErrorMessage="1" xr:uid="{15D7C9D3-BDAE-430A-8323-1E7CE900E5A9}">
          <x14:formula1>
            <xm:f>Anexo!$J$8:$J$15</xm:f>
          </x14:formula1>
          <xm:sqref>H23:H39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BA3C-EDFF-439D-AF83-E95A96FF702D}">
  <dimension ref="B2:AA14"/>
  <sheetViews>
    <sheetView topLeftCell="O4" zoomScaleNormal="100" workbookViewId="0">
      <selection activeCell="P15" sqref="P15:T15"/>
    </sheetView>
  </sheetViews>
  <sheetFormatPr defaultColWidth="11.42578125" defaultRowHeight="12.75"/>
  <cols>
    <col min="1" max="1" width="1.28515625" style="16" customWidth="1"/>
    <col min="2" max="2" width="6" style="16" customWidth="1"/>
    <col min="3" max="3" width="15.140625" style="16" customWidth="1"/>
    <col min="4" max="4" width="16.42578125" style="16" customWidth="1"/>
    <col min="5" max="5" width="13.5703125" style="16" bestFit="1" customWidth="1"/>
    <col min="6" max="6" width="13.7109375" style="16" customWidth="1"/>
    <col min="7" max="7" width="15" style="16" customWidth="1"/>
    <col min="8" max="8" width="15.28515625" style="16" customWidth="1"/>
    <col min="9" max="16" width="12.5703125" style="16" customWidth="1"/>
    <col min="17" max="17" width="15.140625" style="16" bestFit="1" customWidth="1"/>
    <col min="18" max="18" width="12.5703125" style="16" customWidth="1"/>
    <col min="19" max="19" width="14.5703125" style="16" bestFit="1" customWidth="1"/>
    <col min="20" max="20" width="13.28515625" style="16" customWidth="1"/>
    <col min="21" max="21" width="14.140625" style="16" customWidth="1"/>
    <col min="22" max="23" width="11.42578125" style="16"/>
    <col min="24" max="24" width="12.42578125" style="16" bestFit="1" customWidth="1"/>
    <col min="25" max="25" width="11.42578125" style="16"/>
    <col min="26" max="26" width="13" style="16" bestFit="1" customWidth="1"/>
    <col min="27" max="27" width="13.85546875" style="16" bestFit="1" customWidth="1"/>
    <col min="28" max="28" width="11.42578125" style="16"/>
    <col min="29" max="29" width="12.28515625" style="16" customWidth="1"/>
    <col min="30" max="36" width="17.140625" style="16" customWidth="1"/>
    <col min="37" max="16384" width="11.42578125" style="16"/>
  </cols>
  <sheetData>
    <row r="2" spans="2:27" s="43" customFormat="1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2:27" s="43" customFormat="1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6" spans="2:27">
      <c r="B6" s="2">
        <v>2</v>
      </c>
      <c r="C6" s="191" t="s">
        <v>135</v>
      </c>
      <c r="D6" s="192"/>
      <c r="E6" s="192"/>
      <c r="F6" s="193"/>
    </row>
    <row r="7" spans="2:27" ht="12.75" customHeight="1">
      <c r="C7" s="196" t="s">
        <v>5</v>
      </c>
      <c r="D7" s="196"/>
      <c r="E7" s="196"/>
      <c r="F7" s="196"/>
    </row>
    <row r="8" spans="2:27" ht="42.75" customHeight="1">
      <c r="C8" s="6" t="s">
        <v>6</v>
      </c>
      <c r="D8" s="7" t="s">
        <v>136</v>
      </c>
      <c r="E8" s="5" t="s">
        <v>137</v>
      </c>
      <c r="F8" s="5" t="s">
        <v>138</v>
      </c>
      <c r="G8" s="5" t="s">
        <v>139</v>
      </c>
      <c r="H8" s="5" t="s">
        <v>140</v>
      </c>
      <c r="I8" s="5" t="s">
        <v>141</v>
      </c>
      <c r="J8" s="5" t="s">
        <v>142</v>
      </c>
      <c r="K8" s="5" t="s">
        <v>143</v>
      </c>
      <c r="L8" s="5" t="s">
        <v>144</v>
      </c>
      <c r="M8" s="5" t="s">
        <v>145</v>
      </c>
      <c r="N8" s="5" t="s">
        <v>146</v>
      </c>
      <c r="O8" s="5" t="s">
        <v>147</v>
      </c>
      <c r="P8" s="5" t="s">
        <v>148</v>
      </c>
      <c r="Q8" s="5" t="s">
        <v>149</v>
      </c>
      <c r="R8" s="22" t="s">
        <v>150</v>
      </c>
      <c r="S8" s="5" t="s">
        <v>33</v>
      </c>
      <c r="T8" s="5" t="s">
        <v>34</v>
      </c>
      <c r="U8" s="5" t="s">
        <v>35</v>
      </c>
      <c r="V8" s="5" t="s">
        <v>36</v>
      </c>
      <c r="W8" s="5" t="s">
        <v>37</v>
      </c>
      <c r="X8" s="5" t="s">
        <v>38</v>
      </c>
      <c r="Y8" s="5" t="s">
        <v>39</v>
      </c>
      <c r="Z8" s="5" t="s">
        <v>40</v>
      </c>
      <c r="AA8" s="5" t="s">
        <v>41</v>
      </c>
    </row>
    <row r="9" spans="2:27" ht="25.5">
      <c r="C9" s="11" t="s">
        <v>92</v>
      </c>
      <c r="D9" s="11">
        <v>2021</v>
      </c>
      <c r="E9" s="17">
        <v>39519</v>
      </c>
      <c r="F9" s="17">
        <v>52411</v>
      </c>
      <c r="G9" s="17">
        <v>50475</v>
      </c>
      <c r="H9" s="17">
        <v>48103</v>
      </c>
      <c r="I9" s="17">
        <v>36105</v>
      </c>
      <c r="J9" s="17">
        <v>41297</v>
      </c>
      <c r="K9" s="17">
        <v>49094</v>
      </c>
      <c r="L9" s="17">
        <v>61583</v>
      </c>
      <c r="M9" s="17">
        <v>68846</v>
      </c>
      <c r="N9" s="17">
        <v>61846</v>
      </c>
      <c r="O9" s="17">
        <v>55414</v>
      </c>
      <c r="P9" s="17">
        <v>39446</v>
      </c>
      <c r="Q9" s="18">
        <f t="shared" ref="Q9:Q12" si="0">SUM(E9:P9)</f>
        <v>604139</v>
      </c>
      <c r="R9" s="39">
        <f>IFERROR(VLOOKUP(D9,FE!$B$47:$D$62,2,FALSE),"")</f>
        <v>0.126</v>
      </c>
      <c r="S9" s="18">
        <f>IFERROR(Q9*R9/1000,"")</f>
        <v>76.121513999999991</v>
      </c>
      <c r="T9" s="18">
        <f>COUNTIF(E9:P9,"&gt;0")</f>
        <v>12</v>
      </c>
      <c r="U9" s="18">
        <f>IF(T9&gt;1,AVERAGE(E9:P9),0)</f>
        <v>50344.916666666664</v>
      </c>
      <c r="V9" s="18">
        <f>IF(T9&gt;1,STDEV(E9:P9),0)</f>
        <v>10260.509507624889</v>
      </c>
      <c r="W9" s="18">
        <f>IF(T9&gt;1,VLOOKUP(T9,Anexo!$G$7:$H$19,2,FALSE),0)</f>
        <v>2.2000000000000002</v>
      </c>
      <c r="X9" s="30">
        <f>IF(T9&gt;1,1-((U9-((V9*W9)/(SQRT(T9))))/U9),Y9)</f>
        <v>0.12943310169762134</v>
      </c>
      <c r="Y9" s="30">
        <f>IF(T9&gt;0,VLOOKUP(D9,FE!$B$47:$D$62,3,FALSE),0)</f>
        <v>0.1</v>
      </c>
      <c r="Z9" s="30">
        <f>SQRT((X9*X9)+(Y9*Y9))</f>
        <v>0.16356322268488963</v>
      </c>
      <c r="AA9" s="18">
        <f>IFERROR((S9*Z9)^2,0)</f>
        <v>155.01943608537215</v>
      </c>
    </row>
    <row r="10" spans="2:27">
      <c r="C10" s="11" t="s">
        <v>151</v>
      </c>
      <c r="D10" s="11">
        <v>2021</v>
      </c>
      <c r="E10" s="17">
        <v>1038</v>
      </c>
      <c r="F10" s="17">
        <v>944</v>
      </c>
      <c r="G10" s="17">
        <v>1031</v>
      </c>
      <c r="H10" s="17">
        <v>1131</v>
      </c>
      <c r="I10" s="17">
        <v>966</v>
      </c>
      <c r="J10" s="17">
        <v>1058</v>
      </c>
      <c r="K10" s="17">
        <v>1067</v>
      </c>
      <c r="L10" s="17">
        <v>1727</v>
      </c>
      <c r="M10" s="17">
        <v>1739</v>
      </c>
      <c r="N10" s="17">
        <v>1056</v>
      </c>
      <c r="O10" s="17">
        <v>3612</v>
      </c>
      <c r="P10" s="17">
        <v>1137</v>
      </c>
      <c r="Q10" s="18">
        <f t="shared" si="0"/>
        <v>16506</v>
      </c>
      <c r="R10" s="39">
        <f>IFERROR(VLOOKUP(D10,FE!$B$47:$D$62,2,FALSE),"")</f>
        <v>0.126</v>
      </c>
      <c r="S10" s="18">
        <f t="shared" ref="S10:S12" si="1">IFERROR(Q10*R10/1000,"")</f>
        <v>2.0797559999999997</v>
      </c>
      <c r="T10" s="18">
        <f t="shared" ref="T10:T12" si="2">COUNTIF(E10:P10,"&gt;0")</f>
        <v>12</v>
      </c>
      <c r="U10" s="18">
        <f t="shared" ref="U10:U12" si="3">IF(T10&gt;1,AVERAGE(E10:P10),0)</f>
        <v>1375.5</v>
      </c>
      <c r="V10" s="18">
        <f t="shared" ref="V10:V12" si="4">IF(T10&gt;1,STDEV(E10:P10),0)</f>
        <v>754.30925656885222</v>
      </c>
      <c r="W10" s="18">
        <f>IF(T10&gt;1,VLOOKUP(T10,Anexo!$G$7:$H$19,2,FALSE),0)</f>
        <v>2.2000000000000002</v>
      </c>
      <c r="X10" s="30">
        <f t="shared" ref="X10:X12" si="5">IF(T10&gt;1,1-((U10-((V10*W10)/(SQRT(T10))))/U10),Y10)</f>
        <v>0.34827387681968636</v>
      </c>
      <c r="Y10" s="30">
        <f>IF(T10&gt;0,VLOOKUP(D10,FE!$B$47:$D$62,3,FALSE),0)</f>
        <v>0.1</v>
      </c>
      <c r="Z10" s="30">
        <f t="shared" ref="Z10:Z12" si="6">SQRT((X10*X10)+(Y10*Y10))</f>
        <v>0.36234609598423173</v>
      </c>
      <c r="AA10" s="18">
        <f t="shared" ref="AA10:AA12" si="7">IFERROR((S10*Z10)^2,0)</f>
        <v>0.56790009943631981</v>
      </c>
    </row>
    <row r="11" spans="2:27" s="171" customFormat="1">
      <c r="C11" s="181" t="s">
        <v>152</v>
      </c>
      <c r="D11" s="181">
        <v>2021</v>
      </c>
      <c r="E11" s="182"/>
      <c r="F11" s="182">
        <v>34</v>
      </c>
      <c r="G11" s="182"/>
      <c r="H11" s="182">
        <v>32</v>
      </c>
      <c r="I11" s="182"/>
      <c r="J11" s="182">
        <v>33</v>
      </c>
      <c r="K11" s="182"/>
      <c r="L11" s="182">
        <v>104</v>
      </c>
      <c r="M11" s="182"/>
      <c r="N11" s="182">
        <v>222</v>
      </c>
      <c r="O11" s="182"/>
      <c r="P11" s="182">
        <v>38</v>
      </c>
      <c r="Q11" s="18">
        <f t="shared" si="0"/>
        <v>463</v>
      </c>
      <c r="R11" s="39">
        <f>IFERROR(VLOOKUP(D11,FE!$B$47:$D$62,2,FALSE),"")</f>
        <v>0.126</v>
      </c>
      <c r="S11" s="18">
        <f t="shared" si="1"/>
        <v>5.8338000000000001E-2</v>
      </c>
      <c r="T11" s="18">
        <f t="shared" si="2"/>
        <v>6</v>
      </c>
      <c r="U11" s="18">
        <f t="shared" si="3"/>
        <v>77.166666666666671</v>
      </c>
      <c r="V11" s="18">
        <f t="shared" ref="V11" si="8">IF(T11&gt;1,STDEV(E11:P11),0)</f>
        <v>76.269041338321983</v>
      </c>
      <c r="W11" s="18">
        <f>IF(T11&gt;1,VLOOKUP(T11,Anexo!$G$7:$H$19,2,FALSE),0)</f>
        <v>2.57</v>
      </c>
      <c r="X11" s="30">
        <f>IF(T11&gt;1,1-((U11-((V11*W11)/(SQRT(T11))))/U11),Y11)</f>
        <v>1.0369935259974592</v>
      </c>
      <c r="Y11" s="30">
        <f>IF(T11&gt;0,VLOOKUP(D11,FE!$B$47:$D$62,3,FALSE),0)</f>
        <v>0.1</v>
      </c>
      <c r="Z11" s="30">
        <f t="shared" ref="Z11" si="9">SQRT((X11*X11)+(Y11*Y11))</f>
        <v>1.0418039993015207</v>
      </c>
      <c r="AA11" s="18">
        <f t="shared" ref="AA11" si="10">IFERROR((S11*Z11)^2,0)</f>
        <v>3.6938147641063209E-3</v>
      </c>
    </row>
    <row r="12" spans="2:27" ht="25.5">
      <c r="C12" s="11" t="s">
        <v>77</v>
      </c>
      <c r="D12" s="11">
        <v>2021</v>
      </c>
      <c r="E12" s="17">
        <v>900</v>
      </c>
      <c r="F12" s="17">
        <v>692</v>
      </c>
      <c r="G12" s="17">
        <v>681</v>
      </c>
      <c r="H12" s="17">
        <v>751</v>
      </c>
      <c r="I12" s="17">
        <v>652</v>
      </c>
      <c r="J12" s="17">
        <v>843</v>
      </c>
      <c r="K12" s="17">
        <v>703</v>
      </c>
      <c r="L12" s="17">
        <v>635</v>
      </c>
      <c r="M12" s="17">
        <v>738</v>
      </c>
      <c r="N12" s="17">
        <v>635</v>
      </c>
      <c r="O12" s="17">
        <v>727</v>
      </c>
      <c r="P12" s="17">
        <v>658</v>
      </c>
      <c r="Q12" s="18">
        <f t="shared" si="0"/>
        <v>8615</v>
      </c>
      <c r="R12" s="39">
        <f>IFERROR(VLOOKUP(D12,FE!$B$47:$D$62,2,FALSE),"")</f>
        <v>0.126</v>
      </c>
      <c r="S12" s="18">
        <f t="shared" si="1"/>
        <v>1.0854900000000001</v>
      </c>
      <c r="T12" s="18">
        <f t="shared" si="2"/>
        <v>12</v>
      </c>
      <c r="U12" s="18">
        <f t="shared" si="3"/>
        <v>717.91666666666663</v>
      </c>
      <c r="V12" s="18">
        <f t="shared" si="4"/>
        <v>82.198715244697198</v>
      </c>
      <c r="W12" s="18">
        <f>IF(T12&gt;1,VLOOKUP(T12,Anexo!$G$7:$H$19,2,FALSE),0)</f>
        <v>2.2000000000000002</v>
      </c>
      <c r="X12" s="30">
        <f t="shared" si="5"/>
        <v>7.2714839806278464E-2</v>
      </c>
      <c r="Y12" s="30">
        <f>IF(T12&gt;0,VLOOKUP(D12,FE!$B$47:$D$62,3,FALSE),0)</f>
        <v>0.1</v>
      </c>
      <c r="Z12" s="30">
        <f t="shared" si="6"/>
        <v>0.12364241961419528</v>
      </c>
      <c r="AA12" s="18">
        <f t="shared" si="7"/>
        <v>1.8013024701000038E-2</v>
      </c>
    </row>
    <row r="13" spans="2:27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9">
        <f>SUM(Q9:Q12)</f>
        <v>629723</v>
      </c>
      <c r="R13" s="19"/>
      <c r="S13" s="29">
        <f>SUM(S9:S12)</f>
        <v>79.345098000000007</v>
      </c>
      <c r="Z13" s="31">
        <f>IF(S13&gt;0,SQRT(SUM(AA9:AA12))/S13,0)</f>
        <v>0.15721620728289901</v>
      </c>
      <c r="AA13" s="29">
        <f>(S13*Z13)^2</f>
        <v>155.60904302427355</v>
      </c>
    </row>
    <row r="14" spans="2:27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</sheetData>
  <mergeCells count="3">
    <mergeCell ref="D2:L3"/>
    <mergeCell ref="C6:F6"/>
    <mergeCell ref="C7:F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9F15EF-C625-48AC-AD25-44760999D593}">
          <x14:formula1>
            <xm:f>FE!$B$48:$B$62</xm:f>
          </x14:formula1>
          <xm:sqref>D9:D13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E759-8EB0-42B0-879A-D5A4E5916069}">
  <dimension ref="A1:BB40"/>
  <sheetViews>
    <sheetView topLeftCell="A11" workbookViewId="0">
      <selection activeCell="I28" sqref="I28"/>
    </sheetView>
  </sheetViews>
  <sheetFormatPr defaultColWidth="11.42578125" defaultRowHeight="15"/>
  <cols>
    <col min="1" max="1" width="3.140625" customWidth="1"/>
    <col min="2" max="2" width="5.42578125" customWidth="1"/>
    <col min="5" max="5" width="36.5703125" customWidth="1"/>
  </cols>
  <sheetData>
    <row r="1" spans="1:5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5" customHeight="1">
      <c r="A2" s="43"/>
      <c r="B2" s="16"/>
      <c r="C2" s="194" t="s">
        <v>0</v>
      </c>
      <c r="D2" s="194"/>
      <c r="E2" s="194"/>
      <c r="F2" s="194"/>
      <c r="G2" s="194"/>
      <c r="H2" s="194"/>
      <c r="I2" s="194"/>
      <c r="J2" s="194"/>
      <c r="K2" s="19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15" customHeight="1">
      <c r="A3" s="43"/>
      <c r="B3" s="16"/>
      <c r="C3" s="194"/>
      <c r="D3" s="194"/>
      <c r="E3" s="194"/>
      <c r="F3" s="194"/>
      <c r="G3" s="194"/>
      <c r="H3" s="194"/>
      <c r="I3" s="194"/>
      <c r="J3" s="194"/>
      <c r="K3" s="19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54" ht="25.5">
      <c r="A6" s="16"/>
      <c r="B6" s="2" t="s">
        <v>153</v>
      </c>
      <c r="C6" s="191" t="s">
        <v>154</v>
      </c>
      <c r="D6" s="192"/>
      <c r="E6" s="192"/>
      <c r="F6" s="193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54">
      <c r="A7" s="16"/>
      <c r="B7" s="16"/>
      <c r="C7" s="196" t="s">
        <v>155</v>
      </c>
      <c r="D7" s="196"/>
      <c r="E7" s="196"/>
      <c r="F7" s="19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54" ht="51">
      <c r="A8" s="16"/>
      <c r="B8" s="16"/>
      <c r="C8" s="6" t="s">
        <v>6</v>
      </c>
      <c r="D8" s="7" t="s">
        <v>7</v>
      </c>
      <c r="E8" s="7" t="s">
        <v>156</v>
      </c>
      <c r="F8" s="7" t="s">
        <v>157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5" t="s">
        <v>21</v>
      </c>
      <c r="S8" s="5" t="s">
        <v>158</v>
      </c>
      <c r="T8" s="5" t="s">
        <v>159</v>
      </c>
      <c r="U8" s="5" t="s">
        <v>160</v>
      </c>
      <c r="V8" s="5" t="s">
        <v>33</v>
      </c>
      <c r="W8" s="5" t="s">
        <v>34</v>
      </c>
      <c r="X8" s="5" t="s">
        <v>35</v>
      </c>
      <c r="Y8" s="5" t="s">
        <v>36</v>
      </c>
      <c r="Z8" s="5" t="s">
        <v>37</v>
      </c>
      <c r="AA8" s="5" t="s">
        <v>38</v>
      </c>
      <c r="AB8" s="5" t="s">
        <v>39</v>
      </c>
      <c r="AC8" s="5" t="s">
        <v>40</v>
      </c>
      <c r="AD8" s="5" t="s">
        <v>41</v>
      </c>
      <c r="AE8" s="16"/>
    </row>
    <row r="9" spans="1:54">
      <c r="A9" s="16"/>
      <c r="B9" s="16"/>
      <c r="C9" s="206"/>
      <c r="D9" s="206"/>
      <c r="E9" s="206"/>
      <c r="F9" s="40" t="s">
        <v>161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04">
        <f>SUMPRODUCT(G9:R9,G10:R10)</f>
        <v>0</v>
      </c>
      <c r="T9" s="204" t="str">
        <f>IFERROR(VLOOKUP(E9,FE!$B$131:$D$139,2,FALSE),"")</f>
        <v/>
      </c>
      <c r="U9" s="204" t="str">
        <f>IFERROR(S9*T9/1000,"")</f>
        <v/>
      </c>
      <c r="V9" s="204" t="str">
        <f>IFERROR(U9*PCG!$D$10,"")</f>
        <v/>
      </c>
      <c r="W9" s="204">
        <f t="shared" ref="W9:W16" si="0">COUNTIF(G9:R9,"&gt;0")</f>
        <v>0</v>
      </c>
      <c r="X9" s="204">
        <f t="shared" ref="X9:X16" si="1">IF(W9&gt;1,AVERAGE(G9:R9),0)</f>
        <v>0</v>
      </c>
      <c r="Y9" s="204">
        <f t="shared" ref="Y9:Y16" si="2">IF(W9&gt;1,STDEV(G9:R9),0)</f>
        <v>0</v>
      </c>
      <c r="Z9" s="204">
        <f>IF(W9&gt;1,VLOOKUP(W9,[2]Anexo!$G$7:$H$19,2,FALSE),0)</f>
        <v>0</v>
      </c>
      <c r="AA9" s="202" t="str">
        <f>IF(W9&gt;1,1-((X9-((Y9*Z9)/(SQRT(W9))))/X9),AB9)</f>
        <v/>
      </c>
      <c r="AB9" s="202" t="str">
        <f>IFERROR(VLOOKUP(E9,FE!$B$131:$D$139,3,FALSE),"")</f>
        <v/>
      </c>
      <c r="AC9" s="202" t="str">
        <f>IFERROR(SQRT((AA9*AA9)+(AB9*AB9)),"")</f>
        <v/>
      </c>
      <c r="AD9" s="204">
        <f>IFERROR((V9*AC9)^2,0)</f>
        <v>0</v>
      </c>
      <c r="AE9" s="16"/>
    </row>
    <row r="10" spans="1:54">
      <c r="A10" s="16"/>
      <c r="B10" s="16"/>
      <c r="C10" s="207"/>
      <c r="D10" s="207"/>
      <c r="E10" s="207"/>
      <c r="F10" s="40" t="s">
        <v>162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05"/>
      <c r="T10" s="205" t="str">
        <f>IFERROR(VLOOKUP(F10,[2]Anexo!$C$8:$D$11,2,FALSE),"")</f>
        <v/>
      </c>
      <c r="U10" s="205" t="str">
        <f t="shared" ref="U10:U16" si="3">IFERROR(S10*T10,"")</f>
        <v/>
      </c>
      <c r="V10" s="205" t="str">
        <f>IFERROR(U10*#REF!,"")</f>
        <v/>
      </c>
      <c r="W10" s="205">
        <f t="shared" si="0"/>
        <v>0</v>
      </c>
      <c r="X10" s="205">
        <f t="shared" si="1"/>
        <v>0</v>
      </c>
      <c r="Y10" s="205">
        <f t="shared" si="2"/>
        <v>0</v>
      </c>
      <c r="Z10" s="205">
        <f>IF(W10&gt;1,VLOOKUP(W10,[2]Anexo!$G$7:$H$19,2,FALSE),0)</f>
        <v>0</v>
      </c>
      <c r="AA10" s="203"/>
      <c r="AB10" s="203">
        <f>IF(W10&gt;0,VLOOKUP(E10,[2]PCG!$G$8:$J$9,4,FALSE),0)</f>
        <v>0</v>
      </c>
      <c r="AC10" s="203">
        <f t="shared" ref="AC10:AC16" si="4">SQRT((AA10*AA10)+(AB10*AB10))</f>
        <v>0</v>
      </c>
      <c r="AD10" s="205"/>
      <c r="AE10" s="16"/>
    </row>
    <row r="11" spans="1:54">
      <c r="A11" s="16"/>
      <c r="B11" s="16"/>
      <c r="C11" s="206"/>
      <c r="D11" s="206"/>
      <c r="E11" s="206"/>
      <c r="F11" s="40" t="s">
        <v>161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04">
        <f t="shared" ref="S11" si="5">SUMPRODUCT(G11:R11,G12:R12)</f>
        <v>0</v>
      </c>
      <c r="T11" s="204" t="str">
        <f>IFERROR(VLOOKUP(E11,FE!$B$131:$D$139,2,FALSE),"")</f>
        <v/>
      </c>
      <c r="U11" s="204" t="str">
        <f t="shared" ref="U11" si="6">IFERROR(S11*T11/1000,"")</f>
        <v/>
      </c>
      <c r="V11" s="204" t="str">
        <f>IFERROR(U11*PCG!$D$10,"")</f>
        <v/>
      </c>
      <c r="W11" s="204">
        <f t="shared" si="0"/>
        <v>0</v>
      </c>
      <c r="X11" s="204">
        <f t="shared" si="1"/>
        <v>0</v>
      </c>
      <c r="Y11" s="204">
        <f t="shared" si="2"/>
        <v>0</v>
      </c>
      <c r="Z11" s="204">
        <f>IF(W11&gt;1,VLOOKUP(W11,[2]Anexo!$G$7:$H$19,2,FALSE),0)</f>
        <v>0</v>
      </c>
      <c r="AA11" s="202" t="str">
        <f>IF(W11&gt;1,1-((X11-((Y11*Z11)/(SQRT(W11))))/X11),AB11)</f>
        <v/>
      </c>
      <c r="AB11" s="202" t="str">
        <f>IFERROR(VLOOKUP(E11,FE!$B$131:$D$139,3,FALSE),"")</f>
        <v/>
      </c>
      <c r="AC11" s="202" t="str">
        <f t="shared" ref="AC11" si="7">IFERROR(SQRT((AA11*AA11)+(AB11*AB11)),"")</f>
        <v/>
      </c>
      <c r="AD11" s="204">
        <f t="shared" ref="AD11" si="8">IFERROR((V11*AC11)^2,0)</f>
        <v>0</v>
      </c>
      <c r="AE11" s="16"/>
    </row>
    <row r="12" spans="1:54">
      <c r="A12" s="16"/>
      <c r="B12" s="16"/>
      <c r="C12" s="207"/>
      <c r="D12" s="207"/>
      <c r="E12" s="207"/>
      <c r="F12" s="40" t="s">
        <v>163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05"/>
      <c r="T12" s="205" t="str">
        <f>IFERROR(VLOOKUP(F12,[2]Anexo!$C$8:$D$11,2,FALSE),"")</f>
        <v/>
      </c>
      <c r="U12" s="205" t="str">
        <f t="shared" si="3"/>
        <v/>
      </c>
      <c r="V12" s="205" t="str">
        <f>IFERROR(U12*#REF!,"")</f>
        <v/>
      </c>
      <c r="W12" s="205">
        <f t="shared" si="0"/>
        <v>0</v>
      </c>
      <c r="X12" s="205">
        <f t="shared" si="1"/>
        <v>0</v>
      </c>
      <c r="Y12" s="205">
        <f t="shared" si="2"/>
        <v>0</v>
      </c>
      <c r="Z12" s="205">
        <f>IF(W12&gt;1,VLOOKUP(W12,[2]Anexo!$G$7:$H$19,2,FALSE),0)</f>
        <v>0</v>
      </c>
      <c r="AA12" s="203">
        <f t="shared" ref="AA12:AA16" si="9">IF(W12&gt;1,1-((X12-((Y12*Z12)/(SQRT(W12))))/X12),AB12)</f>
        <v>0</v>
      </c>
      <c r="AB12" s="203">
        <f>IF(W12&gt;0,VLOOKUP(E12,[2]PCG!$G$8:$J$9,4,FALSE),0)</f>
        <v>0</v>
      </c>
      <c r="AC12" s="203">
        <f t="shared" si="4"/>
        <v>0</v>
      </c>
      <c r="AD12" s="205"/>
      <c r="AE12" s="16"/>
    </row>
    <row r="13" spans="1:54">
      <c r="A13" s="16"/>
      <c r="B13" s="16"/>
      <c r="C13" s="206"/>
      <c r="D13" s="206"/>
      <c r="E13" s="206"/>
      <c r="F13" s="40" t="s">
        <v>161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04">
        <f t="shared" ref="S13" si="10">SUMPRODUCT(G13:R13,G14:R14)</f>
        <v>0</v>
      </c>
      <c r="T13" s="204" t="str">
        <f>IFERROR(VLOOKUP(E13,FE!$B$131:$D$139,2,FALSE),"")</f>
        <v/>
      </c>
      <c r="U13" s="204" t="str">
        <f t="shared" ref="U13" si="11">IFERROR(S13*T13/1000,"")</f>
        <v/>
      </c>
      <c r="V13" s="204" t="str">
        <f>IFERROR(U13*PCG!$D$10,"")</f>
        <v/>
      </c>
      <c r="W13" s="204">
        <f t="shared" si="0"/>
        <v>0</v>
      </c>
      <c r="X13" s="204">
        <f t="shared" si="1"/>
        <v>0</v>
      </c>
      <c r="Y13" s="204">
        <f t="shared" si="2"/>
        <v>0</v>
      </c>
      <c r="Z13" s="204">
        <f>IF(W13&gt;1,VLOOKUP(W13,[2]Anexo!$G$7:$H$19,2,FALSE),0)</f>
        <v>0</v>
      </c>
      <c r="AA13" s="202" t="str">
        <f t="shared" si="9"/>
        <v/>
      </c>
      <c r="AB13" s="202" t="str">
        <f>IFERROR(VLOOKUP(E13,FE!$B$131:$D$139,3,FALSE),"")</f>
        <v/>
      </c>
      <c r="AC13" s="202" t="str">
        <f t="shared" ref="AC13" si="12">IFERROR(SQRT((AA13*AA13)+(AB13*AB13)),"")</f>
        <v/>
      </c>
      <c r="AD13" s="204">
        <f t="shared" ref="AD13" si="13">IFERROR((V13*AC13)^2,0)</f>
        <v>0</v>
      </c>
      <c r="AE13" s="16"/>
    </row>
    <row r="14" spans="1:54">
      <c r="A14" s="16"/>
      <c r="B14" s="16"/>
      <c r="C14" s="207"/>
      <c r="D14" s="207"/>
      <c r="E14" s="207"/>
      <c r="F14" s="40" t="s">
        <v>163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05"/>
      <c r="T14" s="205" t="str">
        <f>IFERROR(VLOOKUP(F14,[2]Anexo!$C$8:$D$11,2,FALSE),"")</f>
        <v/>
      </c>
      <c r="U14" s="205" t="str">
        <f t="shared" si="3"/>
        <v/>
      </c>
      <c r="V14" s="205" t="str">
        <f>IFERROR(U14*#REF!,"")</f>
        <v/>
      </c>
      <c r="W14" s="205">
        <f t="shared" si="0"/>
        <v>0</v>
      </c>
      <c r="X14" s="205">
        <f t="shared" si="1"/>
        <v>0</v>
      </c>
      <c r="Y14" s="205">
        <f t="shared" si="2"/>
        <v>0</v>
      </c>
      <c r="Z14" s="205">
        <f>IF(W14&gt;1,VLOOKUP(W14,[2]Anexo!$G$7:$H$19,2,FALSE),0)</f>
        <v>0</v>
      </c>
      <c r="AA14" s="203">
        <f t="shared" si="9"/>
        <v>0</v>
      </c>
      <c r="AB14" s="203">
        <f>IF(W14&gt;0,VLOOKUP(E14,[2]PCG!$G$8:$J$9,4,FALSE),0)</f>
        <v>0</v>
      </c>
      <c r="AC14" s="203">
        <f t="shared" si="4"/>
        <v>0</v>
      </c>
      <c r="AD14" s="205"/>
      <c r="AE14" s="16"/>
    </row>
    <row r="15" spans="1:54">
      <c r="A15" s="16"/>
      <c r="B15" s="16"/>
      <c r="C15" s="206"/>
      <c r="D15" s="206"/>
      <c r="E15" s="206"/>
      <c r="F15" s="40" t="s">
        <v>161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04">
        <f t="shared" ref="S15" si="14">SUMPRODUCT(G15:R15,G16:R16)</f>
        <v>0</v>
      </c>
      <c r="T15" s="204" t="str">
        <f>IFERROR(VLOOKUP(E15,FE!$B$131:$D$139,2,FALSE),"")</f>
        <v/>
      </c>
      <c r="U15" s="204" t="str">
        <f t="shared" ref="U15" si="15">IFERROR(S15*T15/1000,"")</f>
        <v/>
      </c>
      <c r="V15" s="204" t="str">
        <f>IFERROR(U15*PCG!$D$10,"")</f>
        <v/>
      </c>
      <c r="W15" s="204">
        <f t="shared" si="0"/>
        <v>0</v>
      </c>
      <c r="X15" s="204">
        <f t="shared" si="1"/>
        <v>0</v>
      </c>
      <c r="Y15" s="204">
        <f t="shared" si="2"/>
        <v>0</v>
      </c>
      <c r="Z15" s="204">
        <f>IF(W15&gt;1,VLOOKUP(W15,[2]Anexo!$G$7:$H$19,2,FALSE),0)</f>
        <v>0</v>
      </c>
      <c r="AA15" s="202" t="str">
        <f t="shared" si="9"/>
        <v/>
      </c>
      <c r="AB15" s="202" t="str">
        <f>IFERROR(VLOOKUP(E15,FE!$B$131:$D$139,3,FALSE),"")</f>
        <v/>
      </c>
      <c r="AC15" s="202" t="str">
        <f t="shared" ref="AC15" si="16">IFERROR(SQRT((AA15*AA15)+(AB15*AB15)),"")</f>
        <v/>
      </c>
      <c r="AD15" s="204">
        <f t="shared" ref="AD15" si="17">IFERROR((V15*AC15)^2,0)</f>
        <v>0</v>
      </c>
      <c r="AE15" s="16"/>
    </row>
    <row r="16" spans="1:54">
      <c r="A16" s="16"/>
      <c r="B16" s="16"/>
      <c r="C16" s="207"/>
      <c r="D16" s="207"/>
      <c r="E16" s="207"/>
      <c r="F16" s="40" t="s">
        <v>163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05"/>
      <c r="T16" s="205" t="str">
        <f>IFERROR(VLOOKUP(F16,[2]Anexo!$C$8:$D$11,2,FALSE),"")</f>
        <v/>
      </c>
      <c r="U16" s="205" t="str">
        <f t="shared" si="3"/>
        <v/>
      </c>
      <c r="V16" s="205" t="str">
        <f>IFERROR(U16*#REF!,"")</f>
        <v/>
      </c>
      <c r="W16" s="205">
        <f t="shared" si="0"/>
        <v>0</v>
      </c>
      <c r="X16" s="205">
        <f t="shared" si="1"/>
        <v>0</v>
      </c>
      <c r="Y16" s="205">
        <f t="shared" si="2"/>
        <v>0</v>
      </c>
      <c r="Z16" s="205">
        <f>IF(W16&gt;1,VLOOKUP(W16,[2]Anexo!$G$7:$H$19,2,FALSE),0)</f>
        <v>0</v>
      </c>
      <c r="AA16" s="203">
        <f t="shared" si="9"/>
        <v>0</v>
      </c>
      <c r="AB16" s="203">
        <f>IF(W16&gt;0,VLOOKUP(E16,[2]PCG!$G$8:$J$9,4,FALSE),0)</f>
        <v>0</v>
      </c>
      <c r="AC16" s="203">
        <f t="shared" si="4"/>
        <v>0</v>
      </c>
      <c r="AD16" s="205"/>
      <c r="AE16" s="16"/>
    </row>
    <row r="17" spans="1:31">
      <c r="A17" s="16"/>
      <c r="B17" s="16"/>
      <c r="C17" s="16"/>
      <c r="D17" s="16"/>
      <c r="E17" s="16"/>
      <c r="F17" s="1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>
        <f>SUM(S9:S16)</f>
        <v>0</v>
      </c>
      <c r="T17" s="19"/>
      <c r="U17" s="29">
        <f>SUM(U9:U16)</f>
        <v>0</v>
      </c>
      <c r="V17" s="29">
        <f>SUM(V9:V16)</f>
        <v>0</v>
      </c>
      <c r="W17" s="16"/>
      <c r="X17" s="16"/>
      <c r="Y17" s="16"/>
      <c r="Z17" s="16"/>
      <c r="AA17" s="16"/>
      <c r="AB17" s="16"/>
      <c r="AC17" s="31">
        <f>IF(V17&gt;0,SQRT(SUM(AD9:AD16))/V17,0)</f>
        <v>0</v>
      </c>
      <c r="AD17" s="29">
        <f>(V17*AC17)^2</f>
        <v>0</v>
      </c>
      <c r="AE17" s="16"/>
    </row>
    <row r="18" spans="1:3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5.5">
      <c r="A19" s="16"/>
      <c r="B19" s="2" t="s">
        <v>164</v>
      </c>
      <c r="C19" s="191" t="s">
        <v>165</v>
      </c>
      <c r="D19" s="192"/>
      <c r="E19" s="192"/>
      <c r="F19" s="19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>
      <c r="A20" s="16"/>
      <c r="B20" s="16"/>
      <c r="C20" s="196" t="s">
        <v>166</v>
      </c>
      <c r="D20" s="196"/>
      <c r="E20" s="196"/>
      <c r="F20" s="19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51">
      <c r="A21" s="16"/>
      <c r="B21" s="16"/>
      <c r="C21" s="6" t="s">
        <v>6</v>
      </c>
      <c r="D21" s="7" t="s">
        <v>7</v>
      </c>
      <c r="E21" s="7" t="s">
        <v>156</v>
      </c>
      <c r="F21" s="7" t="s">
        <v>157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5" t="s">
        <v>16</v>
      </c>
      <c r="N21" s="5" t="s">
        <v>17</v>
      </c>
      <c r="O21" s="5" t="s">
        <v>18</v>
      </c>
      <c r="P21" s="5" t="s">
        <v>19</v>
      </c>
      <c r="Q21" s="5" t="s">
        <v>20</v>
      </c>
      <c r="R21" s="5" t="s">
        <v>21</v>
      </c>
      <c r="S21" s="5" t="s">
        <v>158</v>
      </c>
      <c r="T21" s="5" t="s">
        <v>167</v>
      </c>
      <c r="U21" s="5" t="s">
        <v>160</v>
      </c>
      <c r="V21" s="5" t="s">
        <v>33</v>
      </c>
      <c r="W21" s="5" t="s">
        <v>34</v>
      </c>
      <c r="X21" s="5" t="s">
        <v>35</v>
      </c>
      <c r="Y21" s="5" t="s">
        <v>36</v>
      </c>
      <c r="Z21" s="5" t="s">
        <v>37</v>
      </c>
      <c r="AA21" s="5" t="s">
        <v>38</v>
      </c>
      <c r="AB21" s="5" t="s">
        <v>39</v>
      </c>
      <c r="AC21" s="5" t="s">
        <v>40</v>
      </c>
      <c r="AD21" s="5" t="s">
        <v>41</v>
      </c>
      <c r="AE21" s="16"/>
    </row>
    <row r="22" spans="1:31">
      <c r="A22" s="16"/>
      <c r="B22" s="16"/>
      <c r="C22" s="206"/>
      <c r="D22" s="206"/>
      <c r="E22" s="206" t="s">
        <v>168</v>
      </c>
      <c r="F22" s="40" t="s">
        <v>169</v>
      </c>
      <c r="G22" s="17">
        <v>69</v>
      </c>
      <c r="H22" s="17">
        <v>69</v>
      </c>
      <c r="I22" s="17">
        <v>69</v>
      </c>
      <c r="J22" s="17">
        <v>69</v>
      </c>
      <c r="K22" s="17">
        <v>69</v>
      </c>
      <c r="L22" s="17">
        <v>69</v>
      </c>
      <c r="M22" s="17">
        <v>69</v>
      </c>
      <c r="N22" s="17">
        <v>69</v>
      </c>
      <c r="O22" s="17">
        <v>69</v>
      </c>
      <c r="P22" s="17">
        <v>69</v>
      </c>
      <c r="Q22" s="17">
        <v>69</v>
      </c>
      <c r="R22" s="17">
        <v>69</v>
      </c>
      <c r="S22" s="204">
        <f>SUMPRODUCT(G22:R22,G23:R23)</f>
        <v>64584</v>
      </c>
      <c r="T22" s="204">
        <f>IFERROR(VLOOKUP(E22,FE!$F$131:$H$136,2,FALSE),"")</f>
        <v>0</v>
      </c>
      <c r="U22" s="204">
        <f>IFERROR(S22*T22/1000,"")</f>
        <v>0</v>
      </c>
      <c r="V22" s="204">
        <f>IFERROR(U22*PCG!$D$10,"")</f>
        <v>0</v>
      </c>
      <c r="W22" s="204">
        <f>COUNTIF(G22:R22,"&gt;0")</f>
        <v>12</v>
      </c>
      <c r="X22" s="204">
        <f t="shared" ref="X22:X29" si="18">IF(W22&gt;1,AVERAGE(G22:R22),0)</f>
        <v>69</v>
      </c>
      <c r="Y22" s="204">
        <f>IF(W22&gt;1,STDEV(G22:R22),0)</f>
        <v>0</v>
      </c>
      <c r="Z22" s="204">
        <f>IF(W22&gt;1,VLOOKUP(W22,[2]Anexo!$G$7:$H$19,2,FALSE),0)</f>
        <v>2.2000000000000002</v>
      </c>
      <c r="AA22" s="202">
        <f>IF(W22&gt;1,1-((X22-((Y22*Z22)/(SQRT(W22))))/X22),AB22)</f>
        <v>0</v>
      </c>
      <c r="AB22" s="202">
        <f>IFERROR(VLOOKUP(E22,FE!$F$131:$H$136,3,FALSE),"")</f>
        <v>0.3</v>
      </c>
      <c r="AC22" s="202">
        <f>IFERROR(SQRT((AA22*AA22)+(AB22*AB22)),"")</f>
        <v>0.3</v>
      </c>
      <c r="AD22" s="204">
        <f>IFERROR((V22*AC22)^2,0)</f>
        <v>0</v>
      </c>
      <c r="AE22" s="16"/>
    </row>
    <row r="23" spans="1:31">
      <c r="A23" s="16"/>
      <c r="B23" s="16"/>
      <c r="C23" s="207"/>
      <c r="D23" s="207"/>
      <c r="E23" s="207"/>
      <c r="F23" s="40" t="s">
        <v>162</v>
      </c>
      <c r="G23" s="17">
        <v>78</v>
      </c>
      <c r="H23" s="17">
        <v>78</v>
      </c>
      <c r="I23" s="17">
        <v>78</v>
      </c>
      <c r="J23" s="17">
        <v>78</v>
      </c>
      <c r="K23" s="17">
        <v>78</v>
      </c>
      <c r="L23" s="17">
        <v>78</v>
      </c>
      <c r="M23" s="17">
        <v>78</v>
      </c>
      <c r="N23" s="17">
        <v>78</v>
      </c>
      <c r="O23" s="17">
        <v>78</v>
      </c>
      <c r="P23" s="17">
        <v>78</v>
      </c>
      <c r="Q23" s="17">
        <v>78</v>
      </c>
      <c r="R23" s="17">
        <v>78</v>
      </c>
      <c r="S23" s="205"/>
      <c r="T23" s="205" t="str">
        <f>IFERROR(VLOOKUP(F23,[2]Anexo!$C$8:$D$11,2,FALSE),"")</f>
        <v/>
      </c>
      <c r="U23" s="205" t="str">
        <f t="shared" ref="U23" si="19">IFERROR(S23*T23,"")</f>
        <v/>
      </c>
      <c r="V23" s="205" t="str">
        <f>IFERROR(U23*#REF!,"")</f>
        <v/>
      </c>
      <c r="W23" s="205">
        <f t="shared" ref="W23:W29" si="20">COUNTIF(G23:R23,"&gt;0")</f>
        <v>12</v>
      </c>
      <c r="X23" s="205">
        <f t="shared" si="18"/>
        <v>78</v>
      </c>
      <c r="Y23" s="205">
        <f t="shared" ref="Y23:Y29" si="21">IF(W23&gt;1,STDEV(G23:R23),0)</f>
        <v>0</v>
      </c>
      <c r="Z23" s="205">
        <f>IF(W23&gt;1,VLOOKUP(W23,[2]Anexo!$G$7:$H$19,2,FALSE),0)</f>
        <v>2.2000000000000002</v>
      </c>
      <c r="AA23" s="203"/>
      <c r="AB23" s="203" t="e">
        <f>IF(W23&gt;0,VLOOKUP(E23,[2]PCG!$G$8:$J$9,4,FALSE),0)</f>
        <v>#N/A</v>
      </c>
      <c r="AC23" s="203" t="e">
        <f t="shared" ref="AC23" si="22">SQRT((AA23*AA23)+(AB23*AB23))</f>
        <v>#N/A</v>
      </c>
      <c r="AD23" s="205"/>
      <c r="AE23" s="16"/>
    </row>
    <row r="24" spans="1:31">
      <c r="A24" s="16"/>
      <c r="B24" s="16"/>
      <c r="C24" s="206"/>
      <c r="D24" s="206"/>
      <c r="E24" s="206" t="s">
        <v>168</v>
      </c>
      <c r="F24" s="40" t="s">
        <v>169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4">
        <f t="shared" ref="S24" si="23">SUMPRODUCT(G24:R24,G25:R25)</f>
        <v>0</v>
      </c>
      <c r="T24" s="204">
        <f>IFERROR(VLOOKUP(E24,FE!$F$131:$H$136,2,FALSE),"")</f>
        <v>0</v>
      </c>
      <c r="U24" s="204">
        <f t="shared" ref="U24" si="24">IFERROR(S24*T24/1000,"")</f>
        <v>0</v>
      </c>
      <c r="V24" s="204">
        <f>IFERROR(U24*PCG!$D$10,"")</f>
        <v>0</v>
      </c>
      <c r="W24" s="204">
        <f t="shared" si="20"/>
        <v>0</v>
      </c>
      <c r="X24" s="204">
        <f t="shared" si="18"/>
        <v>0</v>
      </c>
      <c r="Y24" s="204">
        <f t="shared" si="21"/>
        <v>0</v>
      </c>
      <c r="Z24" s="204">
        <f>IF(W24&gt;1,VLOOKUP(W24,[2]Anexo!$G$7:$H$19,2,FALSE),0)</f>
        <v>0</v>
      </c>
      <c r="AA24" s="202">
        <f t="shared" ref="AA24:AA29" si="25">IF(W24&gt;1,1-((X24-((Y24*Z24)/(SQRT(W24))))/X24),AB24)</f>
        <v>0.3</v>
      </c>
      <c r="AB24" s="202">
        <f>IFERROR(VLOOKUP(E24,FE!$F$131:$H$136,3,FALSE),"")</f>
        <v>0.3</v>
      </c>
      <c r="AC24" s="202">
        <f t="shared" ref="AC24" si="26">IFERROR(SQRT((AA24*AA24)+(AB24*AB24)),"")</f>
        <v>0.42426406871192851</v>
      </c>
      <c r="AD24" s="204">
        <f t="shared" ref="AD24" si="27">IFERROR((V24*AC24)^2,0)</f>
        <v>0</v>
      </c>
      <c r="AE24" s="16"/>
    </row>
    <row r="25" spans="1:31">
      <c r="A25" s="16"/>
      <c r="B25" s="16"/>
      <c r="C25" s="207"/>
      <c r="D25" s="207"/>
      <c r="E25" s="207"/>
      <c r="F25" s="40" t="s">
        <v>162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5"/>
      <c r="T25" s="205" t="str">
        <f>IFERROR(VLOOKUP(F25,[2]Anexo!$C$8:$D$11,2,FALSE),"")</f>
        <v/>
      </c>
      <c r="U25" s="205" t="str">
        <f t="shared" ref="U25" si="28">IFERROR(S25*T25,"")</f>
        <v/>
      </c>
      <c r="V25" s="205" t="str">
        <f>IFERROR(U25*#REF!,"")</f>
        <v/>
      </c>
      <c r="W25" s="205">
        <f t="shared" si="20"/>
        <v>0</v>
      </c>
      <c r="X25" s="205">
        <f t="shared" si="18"/>
        <v>0</v>
      </c>
      <c r="Y25" s="205">
        <f t="shared" si="21"/>
        <v>0</v>
      </c>
      <c r="Z25" s="205">
        <f>IF(W25&gt;1,VLOOKUP(W25,[2]Anexo!$G$7:$H$19,2,FALSE),0)</f>
        <v>0</v>
      </c>
      <c r="AA25" s="203">
        <f t="shared" si="25"/>
        <v>0</v>
      </c>
      <c r="AB25" s="203">
        <f>IF(W25&gt;0,VLOOKUP(E25,[2]PCG!$G$8:$J$9,4,FALSE),0)</f>
        <v>0</v>
      </c>
      <c r="AC25" s="203">
        <f t="shared" ref="AC25" si="29">SQRT((AA25*AA25)+(AB25*AB25))</f>
        <v>0</v>
      </c>
      <c r="AD25" s="205"/>
      <c r="AE25" s="16"/>
    </row>
    <row r="26" spans="1:31">
      <c r="A26" s="16"/>
      <c r="B26" s="16"/>
      <c r="C26" s="206"/>
      <c r="D26" s="206"/>
      <c r="E26" s="206" t="s">
        <v>168</v>
      </c>
      <c r="F26" s="40" t="s">
        <v>169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04">
        <f t="shared" ref="S26" si="30">SUMPRODUCT(G26:R26,G27:R27)</f>
        <v>0</v>
      </c>
      <c r="T26" s="204">
        <f>IFERROR(VLOOKUP(E26,FE!$F$131:$H$136,2,FALSE),"")</f>
        <v>0</v>
      </c>
      <c r="U26" s="204">
        <f t="shared" ref="U26" si="31">IFERROR(S26*T26/1000,"")</f>
        <v>0</v>
      </c>
      <c r="V26" s="204">
        <f>IFERROR(U26*PCG!$D$10,"")</f>
        <v>0</v>
      </c>
      <c r="W26" s="204">
        <f t="shared" si="20"/>
        <v>0</v>
      </c>
      <c r="X26" s="204">
        <f t="shared" si="18"/>
        <v>0</v>
      </c>
      <c r="Y26" s="204">
        <f t="shared" si="21"/>
        <v>0</v>
      </c>
      <c r="Z26" s="204">
        <f>IF(W26&gt;1,VLOOKUP(W26,[2]Anexo!$G$7:$H$19,2,FALSE),0)</f>
        <v>0</v>
      </c>
      <c r="AA26" s="202">
        <f t="shared" si="25"/>
        <v>0.3</v>
      </c>
      <c r="AB26" s="202">
        <f>IFERROR(VLOOKUP(E26,FE!$F$131:$H$136,3,FALSE),"")</f>
        <v>0.3</v>
      </c>
      <c r="AC26" s="202">
        <f t="shared" ref="AC26" si="32">IFERROR(SQRT((AA26*AA26)+(AB26*AB26)),"")</f>
        <v>0.42426406871192851</v>
      </c>
      <c r="AD26" s="204">
        <f t="shared" ref="AD26" si="33">IFERROR((V26*AC26)^2,0)</f>
        <v>0</v>
      </c>
      <c r="AE26" s="16"/>
    </row>
    <row r="27" spans="1:31">
      <c r="A27" s="16"/>
      <c r="B27" s="16"/>
      <c r="C27" s="207"/>
      <c r="D27" s="207"/>
      <c r="E27" s="207"/>
      <c r="F27" s="40" t="s">
        <v>162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05"/>
      <c r="T27" s="205" t="str">
        <f>IFERROR(VLOOKUP(F27,[2]Anexo!$C$8:$D$11,2,FALSE),"")</f>
        <v/>
      </c>
      <c r="U27" s="205" t="str">
        <f t="shared" ref="U27" si="34">IFERROR(S27*T27,"")</f>
        <v/>
      </c>
      <c r="V27" s="205" t="str">
        <f>IFERROR(U27*#REF!,"")</f>
        <v/>
      </c>
      <c r="W27" s="205">
        <f t="shared" si="20"/>
        <v>0</v>
      </c>
      <c r="X27" s="205">
        <f t="shared" si="18"/>
        <v>0</v>
      </c>
      <c r="Y27" s="205">
        <f t="shared" si="21"/>
        <v>0</v>
      </c>
      <c r="Z27" s="205">
        <f>IF(W27&gt;1,VLOOKUP(W27,[2]Anexo!$G$7:$H$19,2,FALSE),0)</f>
        <v>0</v>
      </c>
      <c r="AA27" s="203">
        <f t="shared" si="25"/>
        <v>0</v>
      </c>
      <c r="AB27" s="203">
        <f>IF(W27&gt;0,VLOOKUP(E27,[2]PCG!$G$8:$J$9,4,FALSE),0)</f>
        <v>0</v>
      </c>
      <c r="AC27" s="203">
        <f t="shared" ref="AC27" si="35">SQRT((AA27*AA27)+(AB27*AB27))</f>
        <v>0</v>
      </c>
      <c r="AD27" s="205"/>
      <c r="AE27" s="16"/>
    </row>
    <row r="28" spans="1:31">
      <c r="A28" s="16"/>
      <c r="B28" s="16"/>
      <c r="C28" s="206"/>
      <c r="D28" s="206"/>
      <c r="E28" s="206" t="s">
        <v>168</v>
      </c>
      <c r="F28" s="40" t="s">
        <v>169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4">
        <f t="shared" ref="S28" si="36">SUMPRODUCT(G28:R28,G29:R29)</f>
        <v>0</v>
      </c>
      <c r="T28" s="204">
        <f>IFERROR(VLOOKUP(E28,FE!$F$131:$H$136,2,FALSE),"")</f>
        <v>0</v>
      </c>
      <c r="U28" s="204">
        <f t="shared" ref="U28" si="37">IFERROR(S28*T28/1000,"")</f>
        <v>0</v>
      </c>
      <c r="V28" s="204">
        <f>IFERROR(U28*PCG!$D$10,"")</f>
        <v>0</v>
      </c>
      <c r="W28" s="204">
        <f t="shared" si="20"/>
        <v>0</v>
      </c>
      <c r="X28" s="204">
        <f t="shared" si="18"/>
        <v>0</v>
      </c>
      <c r="Y28" s="204">
        <f t="shared" si="21"/>
        <v>0</v>
      </c>
      <c r="Z28" s="204">
        <f>IF(W28&gt;1,VLOOKUP(W28,[2]Anexo!$G$7:$H$19,2,FALSE),0)</f>
        <v>0</v>
      </c>
      <c r="AA28" s="202">
        <f t="shared" si="25"/>
        <v>0.3</v>
      </c>
      <c r="AB28" s="202">
        <f>IFERROR(VLOOKUP(E28,FE!$F$131:$H$136,3,FALSE),"")</f>
        <v>0.3</v>
      </c>
      <c r="AC28" s="202">
        <f t="shared" ref="AC28" si="38">IFERROR(SQRT((AA28*AA28)+(AB28*AB28)),"")</f>
        <v>0.42426406871192851</v>
      </c>
      <c r="AD28" s="204">
        <f t="shared" ref="AD28" si="39">IFERROR((V28*AC28)^2,0)</f>
        <v>0</v>
      </c>
      <c r="AE28" s="16"/>
    </row>
    <row r="29" spans="1:31">
      <c r="A29" s="16"/>
      <c r="B29" s="16"/>
      <c r="C29" s="207"/>
      <c r="D29" s="207"/>
      <c r="E29" s="207"/>
      <c r="F29" s="40" t="s">
        <v>162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05"/>
      <c r="T29" s="205" t="str">
        <f>IFERROR(VLOOKUP(F29,[2]Anexo!$C$8:$D$11,2,FALSE),"")</f>
        <v/>
      </c>
      <c r="U29" s="205" t="str">
        <f t="shared" ref="U29" si="40">IFERROR(S29*T29,"")</f>
        <v/>
      </c>
      <c r="V29" s="205" t="str">
        <f>IFERROR(U29*#REF!,"")</f>
        <v/>
      </c>
      <c r="W29" s="205">
        <f t="shared" si="20"/>
        <v>0</v>
      </c>
      <c r="X29" s="205">
        <f t="shared" si="18"/>
        <v>0</v>
      </c>
      <c r="Y29" s="205">
        <f t="shared" si="21"/>
        <v>0</v>
      </c>
      <c r="Z29" s="205">
        <f>IF(W29&gt;1,VLOOKUP(W29,[2]Anexo!$G$7:$H$19,2,FALSE),0)</f>
        <v>0</v>
      </c>
      <c r="AA29" s="203">
        <f t="shared" si="25"/>
        <v>0</v>
      </c>
      <c r="AB29" s="203">
        <f>IF(W29&gt;0,VLOOKUP(E29,[2]PCG!$G$8:$J$9,4,FALSE),0)</f>
        <v>0</v>
      </c>
      <c r="AC29" s="203">
        <f t="shared" ref="AC29" si="41">SQRT((AA29*AA29)+(AB29*AB29))</f>
        <v>0</v>
      </c>
      <c r="AD29" s="205"/>
      <c r="AE29" s="16"/>
    </row>
    <row r="30" spans="1:31">
      <c r="A30" s="16"/>
      <c r="B30" s="16"/>
      <c r="C30" s="16"/>
      <c r="D30" s="16"/>
      <c r="E30" s="16"/>
      <c r="F30" s="1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9">
        <f>SUM(S22:S29)</f>
        <v>64584</v>
      </c>
      <c r="T30" s="19"/>
      <c r="U30" s="29">
        <f>SUM(U22:U29)</f>
        <v>0</v>
      </c>
      <c r="V30" s="29">
        <f>SUM(V22:V29)</f>
        <v>0</v>
      </c>
      <c r="W30" s="16"/>
      <c r="X30" s="16"/>
      <c r="Y30" s="16"/>
      <c r="Z30" s="16"/>
      <c r="AA30" s="16"/>
      <c r="AB30" s="16"/>
      <c r="AC30" s="31">
        <f>IF(V30&gt;0,SQRT(SUM(AD22:AD29))/V30,0)</f>
        <v>0</v>
      </c>
      <c r="AD30" s="29">
        <f>(V30*AC30)^2</f>
        <v>0</v>
      </c>
      <c r="AE30" s="16"/>
    </row>
    <row r="31" spans="1: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25.5">
      <c r="A33" s="16"/>
      <c r="B33" s="16"/>
      <c r="C33" s="5" t="s">
        <v>87</v>
      </c>
      <c r="D33" s="5" t="s">
        <v>100</v>
      </c>
      <c r="E33" s="5" t="s">
        <v>102</v>
      </c>
      <c r="F33" s="5" t="s">
        <v>38</v>
      </c>
      <c r="G33" s="5" t="s">
        <v>170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>
      <c r="A34" s="16"/>
      <c r="B34" s="16"/>
      <c r="C34" s="17" t="s">
        <v>171</v>
      </c>
      <c r="D34" s="17">
        <f>+U17</f>
        <v>0</v>
      </c>
      <c r="E34" s="17">
        <f>+V17</f>
        <v>0</v>
      </c>
      <c r="F34" s="30">
        <f>+AC17</f>
        <v>0</v>
      </c>
      <c r="G34" s="17">
        <f>IFERROR((E34*F34)^2,0)</f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>
      <c r="A35" s="16"/>
      <c r="B35" s="16"/>
      <c r="C35" s="17" t="s">
        <v>172</v>
      </c>
      <c r="D35" s="17">
        <f>+U30</f>
        <v>0</v>
      </c>
      <c r="E35" s="17">
        <f>+V30</f>
        <v>0</v>
      </c>
      <c r="F35" s="30">
        <f>+AC30</f>
        <v>0</v>
      </c>
      <c r="G35" s="17">
        <f>IFERROR((E35*F35)^2,0)</f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>
      <c r="A36" s="16"/>
      <c r="B36" s="16"/>
      <c r="C36" s="5" t="s">
        <v>107</v>
      </c>
      <c r="D36" s="17">
        <f>SUM(D34:D35)</f>
        <v>0</v>
      </c>
      <c r="E36" s="17">
        <f>SUM(E34:E35)</f>
        <v>0</v>
      </c>
      <c r="F36" s="30">
        <f>IF(V30&gt;0,SQRT(SUM(G34:G35))/E36,0)</f>
        <v>0</v>
      </c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</sheetData>
  <mergeCells count="125">
    <mergeCell ref="C2:K3"/>
    <mergeCell ref="W28:W29"/>
    <mergeCell ref="X28:X29"/>
    <mergeCell ref="Y28:Y29"/>
    <mergeCell ref="Z28:Z29"/>
    <mergeCell ref="AA28:AA29"/>
    <mergeCell ref="AB28:AB29"/>
    <mergeCell ref="D28:D29"/>
    <mergeCell ref="E28:E29"/>
    <mergeCell ref="S28:S29"/>
    <mergeCell ref="T28:T29"/>
    <mergeCell ref="U28:U29"/>
    <mergeCell ref="V28:V29"/>
    <mergeCell ref="Y26:Y27"/>
    <mergeCell ref="Z26:Z27"/>
    <mergeCell ref="AA26:AA27"/>
    <mergeCell ref="AB26:AB27"/>
    <mergeCell ref="AB15:AB16"/>
    <mergeCell ref="AB11:AB12"/>
    <mergeCell ref="AB9:AB10"/>
    <mergeCell ref="C7:F7"/>
    <mergeCell ref="C28:C29"/>
    <mergeCell ref="AA9:AA10"/>
    <mergeCell ref="C6:F6"/>
    <mergeCell ref="X24:X25"/>
    <mergeCell ref="C26:C27"/>
    <mergeCell ref="D26:D27"/>
    <mergeCell ref="E26:E27"/>
    <mergeCell ref="S26:S27"/>
    <mergeCell ref="T26:T27"/>
    <mergeCell ref="U26:U27"/>
    <mergeCell ref="V26:V27"/>
    <mergeCell ref="W26:W27"/>
    <mergeCell ref="X26:X27"/>
    <mergeCell ref="C15:C16"/>
    <mergeCell ref="D15:D16"/>
    <mergeCell ref="E15:E16"/>
    <mergeCell ref="S15:S16"/>
    <mergeCell ref="T15:T16"/>
    <mergeCell ref="U15:U16"/>
    <mergeCell ref="V15:V16"/>
    <mergeCell ref="W15:W16"/>
    <mergeCell ref="C24:C25"/>
    <mergeCell ref="D24:D25"/>
    <mergeCell ref="E24:E25"/>
    <mergeCell ref="S24:S25"/>
    <mergeCell ref="T24:T25"/>
    <mergeCell ref="U24:U25"/>
    <mergeCell ref="V24:V25"/>
    <mergeCell ref="W24:W25"/>
    <mergeCell ref="C20:F20"/>
    <mergeCell ref="C22:C23"/>
    <mergeCell ref="D22:D23"/>
    <mergeCell ref="E22:E23"/>
    <mergeCell ref="S22:S23"/>
    <mergeCell ref="T22:T23"/>
    <mergeCell ref="U22:U23"/>
    <mergeCell ref="C19:F19"/>
    <mergeCell ref="V22:V23"/>
    <mergeCell ref="W22:W23"/>
    <mergeCell ref="X22:X23"/>
    <mergeCell ref="Y22:Y23"/>
    <mergeCell ref="Z22:Z23"/>
    <mergeCell ref="AA22:AA23"/>
    <mergeCell ref="X15:X16"/>
    <mergeCell ref="AC11:AC12"/>
    <mergeCell ref="AD11:AD12"/>
    <mergeCell ref="AD13:AD14"/>
    <mergeCell ref="Y15:Y16"/>
    <mergeCell ref="Z15:Z16"/>
    <mergeCell ref="AA15:AA16"/>
    <mergeCell ref="AC15:AC16"/>
    <mergeCell ref="AD15:AD16"/>
    <mergeCell ref="C13:C14"/>
    <mergeCell ref="D13:D14"/>
    <mergeCell ref="E13:E14"/>
    <mergeCell ref="S13:S14"/>
    <mergeCell ref="T13:T14"/>
    <mergeCell ref="U13:U14"/>
    <mergeCell ref="V13:V14"/>
    <mergeCell ref="AC13:AC14"/>
    <mergeCell ref="AA11:AA12"/>
    <mergeCell ref="W13:W14"/>
    <mergeCell ref="X13:X14"/>
    <mergeCell ref="Y13:Y14"/>
    <mergeCell ref="Z13:Z14"/>
    <mergeCell ref="AA13:AA14"/>
    <mergeCell ref="AB13:AB14"/>
    <mergeCell ref="AC9:AC10"/>
    <mergeCell ref="AD9:AD10"/>
    <mergeCell ref="C11:C12"/>
    <mergeCell ref="D11:D12"/>
    <mergeCell ref="E11:E12"/>
    <mergeCell ref="S11:S12"/>
    <mergeCell ref="T11:T12"/>
    <mergeCell ref="U11:U12"/>
    <mergeCell ref="V11:V12"/>
    <mergeCell ref="T9:T10"/>
    <mergeCell ref="U9:U10"/>
    <mergeCell ref="V9:V10"/>
    <mergeCell ref="W9:W10"/>
    <mergeCell ref="X9:X10"/>
    <mergeCell ref="Y9:Y10"/>
    <mergeCell ref="C9:C10"/>
    <mergeCell ref="D9:D10"/>
    <mergeCell ref="E9:E10"/>
    <mergeCell ref="S9:S10"/>
    <mergeCell ref="W11:W12"/>
    <mergeCell ref="X11:X12"/>
    <mergeCell ref="Y11:Y12"/>
    <mergeCell ref="Z11:Z12"/>
    <mergeCell ref="Z9:Z10"/>
    <mergeCell ref="AC28:AC29"/>
    <mergeCell ref="AD28:AD29"/>
    <mergeCell ref="Y24:Y25"/>
    <mergeCell ref="Z24:Z25"/>
    <mergeCell ref="AA24:AA25"/>
    <mergeCell ref="AB24:AB25"/>
    <mergeCell ref="AB22:AB23"/>
    <mergeCell ref="AC22:AC23"/>
    <mergeCell ref="AC24:AC25"/>
    <mergeCell ref="AC26:AC27"/>
    <mergeCell ref="AD26:AD27"/>
    <mergeCell ref="AD24:AD25"/>
    <mergeCell ref="AD22:AD23"/>
  </mergeCells>
  <dataValidations count="2">
    <dataValidation type="list" allowBlank="1" showInputMessage="1" showErrorMessage="1" sqref="E9:E16" xr:uid="{D2D83FE2-6E5A-4323-9E98-012C80AAEFD1}">
      <formula1>TAD</formula1>
    </dataValidation>
    <dataValidation type="list" allowBlank="1" showInputMessage="1" showErrorMessage="1" sqref="E22:E29" xr:uid="{CC02C61C-A48C-48D5-A63C-D500BC03CBE7}">
      <formula1>TAI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6904-6212-4628-A54C-4430B4FD773D}">
  <dimension ref="A2:AN68"/>
  <sheetViews>
    <sheetView topLeftCell="A55" zoomScale="90" zoomScaleNormal="90" workbookViewId="0">
      <selection activeCell="AC10" sqref="C10:AC10"/>
    </sheetView>
  </sheetViews>
  <sheetFormatPr defaultColWidth="11.42578125" defaultRowHeight="12.75"/>
  <cols>
    <col min="1" max="1" width="3.7109375" style="16" customWidth="1"/>
    <col min="2" max="2" width="6" style="16" customWidth="1"/>
    <col min="3" max="3" width="15.140625" style="16" customWidth="1"/>
    <col min="4" max="4" width="16.42578125" style="16" customWidth="1"/>
    <col min="5" max="5" width="26.7109375" style="16" customWidth="1"/>
    <col min="6" max="6" width="14.5703125" style="16" customWidth="1"/>
    <col min="7" max="8" width="11.5703125" style="16" customWidth="1"/>
    <col min="9" max="9" width="12.5703125" style="16" customWidth="1"/>
    <col min="10" max="10" width="12.140625" style="16" customWidth="1"/>
    <col min="11" max="11" width="11" style="16" customWidth="1"/>
    <col min="12" max="18" width="12.5703125" style="16" customWidth="1"/>
    <col min="19" max="19" width="16.7109375" style="16" customWidth="1"/>
    <col min="20" max="20" width="18.140625" style="16" customWidth="1"/>
    <col min="21" max="21" width="19" style="16" customWidth="1"/>
    <col min="22" max="22" width="13.28515625" style="16" customWidth="1"/>
    <col min="23" max="23" width="14.140625" style="16" customWidth="1"/>
    <col min="24" max="24" width="19" style="16" customWidth="1"/>
    <col min="25" max="30" width="11.42578125" style="16"/>
    <col min="31" max="31" width="12.28515625" style="16" customWidth="1"/>
    <col min="32" max="38" width="17.140625" style="16" customWidth="1"/>
    <col min="39" max="16384" width="11.42578125" style="16"/>
  </cols>
  <sheetData>
    <row r="2" spans="2:29" s="43" customFormat="1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2:29" s="43" customFormat="1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6" spans="2:29">
      <c r="B6" s="2">
        <v>3</v>
      </c>
      <c r="C6" s="191" t="s">
        <v>173</v>
      </c>
      <c r="D6" s="192"/>
      <c r="E6" s="192"/>
      <c r="F6" s="193"/>
    </row>
    <row r="8" spans="2:29" ht="15">
      <c r="B8" s="2" t="s">
        <v>3</v>
      </c>
      <c r="C8" s="197" t="s">
        <v>174</v>
      </c>
      <c r="D8" s="197"/>
      <c r="E8" s="197"/>
      <c r="F8" s="197"/>
      <c r="H8"/>
    </row>
    <row r="9" spans="2:29">
      <c r="C9" s="196" t="s">
        <v>175</v>
      </c>
      <c r="D9" s="196"/>
      <c r="E9" s="196"/>
      <c r="F9" s="196"/>
    </row>
    <row r="10" spans="2:29" ht="42.75" customHeight="1">
      <c r="C10" s="6" t="s">
        <v>6</v>
      </c>
      <c r="D10" s="7" t="s">
        <v>176</v>
      </c>
      <c r="E10" s="7" t="s">
        <v>177</v>
      </c>
      <c r="F10" s="7" t="s">
        <v>178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179</v>
      </c>
      <c r="T10" s="5" t="s">
        <v>180</v>
      </c>
      <c r="U10" s="5" t="s">
        <v>33</v>
      </c>
      <c r="V10" s="5" t="s">
        <v>34</v>
      </c>
      <c r="W10" s="5" t="s">
        <v>35</v>
      </c>
      <c r="X10" s="5" t="s">
        <v>36</v>
      </c>
      <c r="Y10" s="5" t="s">
        <v>37</v>
      </c>
      <c r="Z10" s="5" t="s">
        <v>38</v>
      </c>
      <c r="AA10" s="5" t="s">
        <v>39</v>
      </c>
      <c r="AB10" s="5" t="s">
        <v>40</v>
      </c>
      <c r="AC10" s="5" t="s">
        <v>41</v>
      </c>
    </row>
    <row r="11" spans="2:29" ht="26.25" customHeight="1">
      <c r="C11" s="11" t="s">
        <v>92</v>
      </c>
      <c r="D11" s="17" t="s">
        <v>181</v>
      </c>
      <c r="E11" s="17" t="s">
        <v>182</v>
      </c>
      <c r="F11" s="11">
        <v>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2">
        <v>155</v>
      </c>
      <c r="R11" s="17"/>
      <c r="S11" s="18">
        <f>SUM(G11:R11)</f>
        <v>155</v>
      </c>
      <c r="T11" s="75">
        <f>IFERROR(VLOOKUP(E11,FE!$C$75:$E$82,3,FALSE),"")</f>
        <v>0.14672127271099999</v>
      </c>
      <c r="U11" s="18">
        <f>IFERROR(S11*T11/1000,"")</f>
        <v>2.2741797270204998E-2</v>
      </c>
      <c r="V11" s="18">
        <f t="shared" ref="V11:V13" si="0">COUNTIF(G11:R11,"&gt;0")</f>
        <v>1</v>
      </c>
      <c r="W11" s="18">
        <f t="shared" ref="W11:W13" si="1">IF(V11&gt;1,AVERAGE(G11:R11),0)</f>
        <v>0</v>
      </c>
      <c r="X11" s="18">
        <f t="shared" ref="X11:X13" si="2">IF(V11&gt;1,STDEV(G11:R11),0)</f>
        <v>0</v>
      </c>
      <c r="Y11" s="18">
        <f>IF(V11&gt;1,VLOOKUP(V11,Anexo!$G$7:$H$19,2,FALSE),0)</f>
        <v>0</v>
      </c>
      <c r="Z11" s="30">
        <f>IF(V11&gt;1,1-((W11-((X11*Y11)/(SQRT(V11))))/W11),AA11)</f>
        <v>0.1</v>
      </c>
      <c r="AA11" s="30">
        <f>IF(V11&gt;0,VLOOKUP(D11,FE!$B$75:$F$82,5,FALSE),0)</f>
        <v>0.1</v>
      </c>
      <c r="AB11" s="30">
        <f>SQRT((Z11*Z11)+(AA11*AA11))</f>
        <v>0.14142135623730953</v>
      </c>
      <c r="AC11" s="40">
        <f>IFERROR((U11*AB11)^2,0)</f>
        <v>1.0343786861582072E-5</v>
      </c>
    </row>
    <row r="12" spans="2:29" ht="30.75" customHeight="1">
      <c r="C12" s="11" t="s">
        <v>92</v>
      </c>
      <c r="D12" s="17" t="s">
        <v>181</v>
      </c>
      <c r="E12" s="17" t="s">
        <v>182</v>
      </c>
      <c r="F12" s="11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2">
        <v>155</v>
      </c>
      <c r="R12" s="17"/>
      <c r="S12" s="18">
        <f t="shared" ref="S12:S13" si="3">SUM(G12:R12)</f>
        <v>155</v>
      </c>
      <c r="T12" s="75">
        <f>IFERROR(VLOOKUP(E12,FE!$C$75:$E$82,3,FALSE),"")</f>
        <v>0.14672127271099999</v>
      </c>
      <c r="U12" s="18">
        <f t="shared" ref="U12:U13" si="4">IFERROR(S12*T12/1000,"")</f>
        <v>2.2741797270204998E-2</v>
      </c>
      <c r="V12" s="18">
        <f t="shared" si="0"/>
        <v>1</v>
      </c>
      <c r="W12" s="18">
        <f t="shared" si="1"/>
        <v>0</v>
      </c>
      <c r="X12" s="18">
        <f t="shared" si="2"/>
        <v>0</v>
      </c>
      <c r="Y12" s="18">
        <f>IF(V12&gt;1,VLOOKUP(V12,Anexo!$G$7:$H$19,2,FALSE),0)</f>
        <v>0</v>
      </c>
      <c r="Z12" s="30">
        <f t="shared" ref="Z12:Z13" si="5">IF(V12&gt;1,1-((W12-((X12*Y12)/(SQRT(V12))))/W12),AA12)</f>
        <v>0.1</v>
      </c>
      <c r="AA12" s="30">
        <f>IF(V12&gt;0,VLOOKUP(D12,FE!$B$75:$F$82,5,FALSE),0)</f>
        <v>0.1</v>
      </c>
      <c r="AB12" s="30">
        <f t="shared" ref="AB12:AB13" si="6">SQRT((Z12*Z12)+(AA12*AA12))</f>
        <v>0.14142135623730953</v>
      </c>
      <c r="AC12" s="40">
        <f t="shared" ref="AC12:AC13" si="7">IFERROR((U12*AB12)^2,0)</f>
        <v>1.0343786861582072E-5</v>
      </c>
    </row>
    <row r="13" spans="2:29" ht="33.75" customHeight="1">
      <c r="C13" s="11" t="s">
        <v>92</v>
      </c>
      <c r="D13" s="17" t="s">
        <v>181</v>
      </c>
      <c r="E13" s="17" t="s">
        <v>182</v>
      </c>
      <c r="F13" s="11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2">
        <v>188</v>
      </c>
      <c r="R13" s="17"/>
      <c r="S13" s="18">
        <f t="shared" si="3"/>
        <v>188</v>
      </c>
      <c r="T13" s="75">
        <f>IFERROR(VLOOKUP(E13,FE!$C$75:$E$82,3,FALSE),"")</f>
        <v>0.14672127271099999</v>
      </c>
      <c r="U13" s="18">
        <f t="shared" si="4"/>
        <v>2.7583599269668E-2</v>
      </c>
      <c r="V13" s="18">
        <f t="shared" si="0"/>
        <v>1</v>
      </c>
      <c r="W13" s="18">
        <f t="shared" si="1"/>
        <v>0</v>
      </c>
      <c r="X13" s="18">
        <f t="shared" si="2"/>
        <v>0</v>
      </c>
      <c r="Y13" s="18">
        <f>IF(V13&gt;1,VLOOKUP(V13,Anexo!$G$7:$H$19,2,FALSE),0)</f>
        <v>0</v>
      </c>
      <c r="Z13" s="30">
        <f t="shared" si="5"/>
        <v>0.1</v>
      </c>
      <c r="AA13" s="30">
        <f>IF(V13&gt;0,VLOOKUP(D13,FE!$B$75:$F$82,5,FALSE),0)</f>
        <v>0.1</v>
      </c>
      <c r="AB13" s="180">
        <f t="shared" si="6"/>
        <v>0.14142135623730953</v>
      </c>
      <c r="AC13" s="185">
        <f t="shared" si="7"/>
        <v>1.5217098973392587E-5</v>
      </c>
    </row>
    <row r="14" spans="2:29" ht="18" customHeight="1"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>
        <f>SUM(S11:S13)</f>
        <v>498</v>
      </c>
      <c r="U14" s="29">
        <f>SUM(U11:U13)</f>
        <v>7.3067193810077993E-2</v>
      </c>
      <c r="V14" s="19"/>
      <c r="W14" s="19"/>
      <c r="Y14" s="76"/>
      <c r="Z14" s="76"/>
      <c r="AA14" s="184"/>
      <c r="AB14" s="183">
        <f>IF(U14&gt;0,SQRT(SUM(AC11:AC13))/U14,0)</f>
        <v>8.2007402772248869E-2</v>
      </c>
      <c r="AC14" s="187">
        <f>(U14*AB14)^2</f>
        <v>3.5904672696556743E-5</v>
      </c>
    </row>
    <row r="15" spans="2:29" hidden="1"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70"/>
      <c r="AB15" s="186"/>
      <c r="AC15" s="19"/>
    </row>
    <row r="16" spans="2:29" hidden="1">
      <c r="B16" s="2" t="s">
        <v>42</v>
      </c>
      <c r="C16" s="197" t="s">
        <v>183</v>
      </c>
      <c r="D16" s="197"/>
      <c r="E16" s="197"/>
      <c r="F16" s="197"/>
      <c r="AA16" s="171"/>
      <c r="AB16" s="171"/>
    </row>
    <row r="17" spans="2:37" ht="23.25" hidden="1" customHeight="1">
      <c r="C17" s="198" t="s">
        <v>184</v>
      </c>
      <c r="D17" s="198"/>
      <c r="E17" s="198"/>
      <c r="F17" s="198"/>
      <c r="G17" s="198"/>
      <c r="H17" s="198"/>
      <c r="I17" s="198"/>
      <c r="J17" s="198"/>
    </row>
    <row r="18" spans="2:37" ht="42.75" hidden="1" customHeight="1">
      <c r="C18" s="6" t="s">
        <v>6</v>
      </c>
      <c r="D18" s="91" t="s">
        <v>185</v>
      </c>
      <c r="E18" s="7" t="s">
        <v>186</v>
      </c>
      <c r="F18" s="7" t="s">
        <v>187</v>
      </c>
      <c r="G18" s="7" t="s">
        <v>9</v>
      </c>
      <c r="H18" s="5" t="s">
        <v>10</v>
      </c>
      <c r="I18" s="5" t="s">
        <v>11</v>
      </c>
      <c r="J18" s="5" t="s">
        <v>12</v>
      </c>
      <c r="K18" s="5" t="s">
        <v>13</v>
      </c>
      <c r="L18" s="5" t="s">
        <v>14</v>
      </c>
      <c r="M18" s="5" t="s">
        <v>15</v>
      </c>
      <c r="N18" s="5" t="s">
        <v>16</v>
      </c>
      <c r="O18" s="5" t="s">
        <v>17</v>
      </c>
      <c r="P18" s="5" t="s">
        <v>18</v>
      </c>
      <c r="Q18" s="5" t="s">
        <v>19</v>
      </c>
      <c r="R18" s="5" t="s">
        <v>20</v>
      </c>
      <c r="S18" s="5" t="s">
        <v>21</v>
      </c>
      <c r="T18" s="5" t="s">
        <v>22</v>
      </c>
      <c r="U18" s="5" t="s">
        <v>23</v>
      </c>
      <c r="V18" s="5" t="s">
        <v>188</v>
      </c>
      <c r="W18" s="5" t="s">
        <v>189</v>
      </c>
      <c r="X18" s="5" t="s">
        <v>33</v>
      </c>
      <c r="Y18" s="5" t="s">
        <v>34</v>
      </c>
      <c r="Z18" s="5" t="s">
        <v>35</v>
      </c>
      <c r="AA18" s="5" t="s">
        <v>36</v>
      </c>
      <c r="AB18" s="5" t="s">
        <v>37</v>
      </c>
      <c r="AC18" s="5" t="s">
        <v>38</v>
      </c>
      <c r="AD18" s="5" t="s">
        <v>39</v>
      </c>
      <c r="AE18" s="5" t="s">
        <v>40</v>
      </c>
      <c r="AF18" s="5" t="s">
        <v>41</v>
      </c>
    </row>
    <row r="19" spans="2:37" hidden="1">
      <c r="C19" s="11"/>
      <c r="D19" s="11"/>
      <c r="E19" s="1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9"/>
      <c r="S19" s="100"/>
      <c r="T19" s="102">
        <f>SUM(H19:S19)</f>
        <v>0</v>
      </c>
      <c r="U19" s="101" t="str">
        <f>IFERROR(VLOOKUP(G19,Anexo!C7:D11,2,FALSE),"")</f>
        <v/>
      </c>
      <c r="V19" s="101" t="str">
        <f>IFERROR(T19*U19,"")</f>
        <v/>
      </c>
      <c r="W19" s="95" t="str">
        <f>IFERROR(VLOOKUP(D19,FE!$B$92:$F$93,5,FALSE),"")</f>
        <v/>
      </c>
      <c r="X19" s="101" t="str">
        <f>IFERROR(V19*W19*F19,"")</f>
        <v/>
      </c>
      <c r="Y19" s="18">
        <f>COUNTIF(H19:S19,"&gt;0")</f>
        <v>0</v>
      </c>
      <c r="Z19" s="18">
        <f>IF(Y19&gt;1,AVERAGE(H19:S19),0)</f>
        <v>0</v>
      </c>
      <c r="AA19" s="18">
        <f>IF(Y19&gt;1,STDEV(H19:S19),0)</f>
        <v>0</v>
      </c>
      <c r="AB19" s="18">
        <f>IF(T19&gt;1,VLOOKUP(Y19,Anexo!$G$7:$H$19,2,FALSE),0)</f>
        <v>0</v>
      </c>
      <c r="AC19" s="30">
        <f t="shared" ref="AC19:AC27" si="8">IF(Y19&gt;1,1-((Z19-((AA19*AB19)/(SQRT(Y19))))/Z19),AD19)</f>
        <v>0</v>
      </c>
      <c r="AD19" s="30">
        <f>IF(Y19&gt;0,VLOOKUP(#REF!,FE!$B$66:$G$87,3,FALSE),0)</f>
        <v>0</v>
      </c>
      <c r="AE19" s="30">
        <f>SQRT((AC19*AC19)+(AD19*AD19))</f>
        <v>0</v>
      </c>
      <c r="AF19" s="18">
        <f>IFERROR((#REF!*AE19)^2,0)</f>
        <v>0</v>
      </c>
    </row>
    <row r="20" spans="2:37" hidden="1">
      <c r="C20" s="11"/>
      <c r="D20" s="1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99"/>
      <c r="S20" s="100"/>
      <c r="T20" s="102">
        <f>SUM(H20:S20)</f>
        <v>0</v>
      </c>
      <c r="U20" s="101" t="str">
        <f>IFERROR(VLOOKUP(G20,Anexo!C7:D11,2,FALSE),"")</f>
        <v/>
      </c>
      <c r="V20" s="101" t="str">
        <f>IFERROR(T20*U20,"")</f>
        <v/>
      </c>
      <c r="W20" s="95" t="str">
        <f>IFERROR(VLOOKUP(D20,FE!$B$92:$F$93,5,FALSE),"")</f>
        <v/>
      </c>
      <c r="X20" s="101" t="str">
        <f>IFERROR(V20*W20*F20,"")</f>
        <v/>
      </c>
      <c r="Y20" s="18">
        <f t="shared" ref="Y20:Y27" si="9">COUNTIF(H20:S20,"&gt;0")</f>
        <v>0</v>
      </c>
      <c r="Z20" s="18">
        <f>IF(Y20&gt;1,AVERAGE(H20:S20),0)</f>
        <v>0</v>
      </c>
      <c r="AA20" s="18">
        <f t="shared" ref="AA20:AA27" si="10">IF(Y20&gt;1,STDEV(H20:S20),0)</f>
        <v>0</v>
      </c>
      <c r="AB20" s="18">
        <f>IF(Y20&gt;1,VLOOKUP(Y20,Anexo!$G$7:$H$19,2,FALSE),0)</f>
        <v>0</v>
      </c>
      <c r="AC20" s="30">
        <f t="shared" si="8"/>
        <v>0</v>
      </c>
      <c r="AD20" s="30">
        <f>IF(Y20&gt;0,VLOOKUP(#REF!,FE!$B$66:$G$87,3,FALSE),0)</f>
        <v>0</v>
      </c>
      <c r="AE20" s="30">
        <f t="shared" ref="AE20:AE27" si="11">SQRT((AC20*AC20)+(AD20*AD20))</f>
        <v>0</v>
      </c>
      <c r="AF20" s="18">
        <f>IFERROR((#REF!*AE20)^2,0)</f>
        <v>0</v>
      </c>
    </row>
    <row r="21" spans="2:37" hidden="1">
      <c r="C21" s="11"/>
      <c r="D21" s="11"/>
      <c r="E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99"/>
      <c r="S21" s="100" t="str">
        <f>IFERROR(VLOOKUP(E21,Anexo!$C$14:$D$20,2,FALSE),"")</f>
        <v/>
      </c>
      <c r="T21" s="102">
        <f t="shared" ref="T21:T27" si="12">SUM(H21:S21)</f>
        <v>0</v>
      </c>
      <c r="U21" s="101" t="str">
        <f>IFERROR(VLOOKUP(G21,Anexo!C7:D11,2,FALSE),"")</f>
        <v/>
      </c>
      <c r="V21" s="101" t="str">
        <f t="shared" ref="V21:V27" si="13">IFERROR(T21*U21,"")</f>
        <v/>
      </c>
      <c r="W21" s="95" t="str">
        <f>IFERROR(VLOOKUP(D21,FE!$B$92:$F$93,5,FALSE),"")</f>
        <v/>
      </c>
      <c r="X21" s="101" t="str">
        <f t="shared" ref="X21:X27" si="14">IFERROR(V21*W21*F21,"")</f>
        <v/>
      </c>
      <c r="Y21" s="18">
        <f>COUNTIF(H21:S21,"&gt;0")</f>
        <v>0</v>
      </c>
      <c r="Z21" s="18">
        <f t="shared" ref="Z21:Z27" si="15">IF(Y21&gt;1,AVERAGE(H21:S21),0)</f>
        <v>0</v>
      </c>
      <c r="AA21" s="18">
        <f t="shared" si="10"/>
        <v>0</v>
      </c>
      <c r="AB21" s="18">
        <f>IF(Y21&gt;1,VLOOKUP(Y21,Anexo!$G$7:$H$19,2,FALSE),0)</f>
        <v>0</v>
      </c>
      <c r="AC21" s="30">
        <f t="shared" si="8"/>
        <v>0</v>
      </c>
      <c r="AD21" s="30">
        <f>IF(Y21&gt;0,VLOOKUP(#REF!,FE!$B$66:$G$87,3,FALSE),0)</f>
        <v>0</v>
      </c>
      <c r="AE21" s="30">
        <f t="shared" si="11"/>
        <v>0</v>
      </c>
      <c r="AF21" s="18">
        <f>IFERROR((#REF!*AE21)^2,0)</f>
        <v>0</v>
      </c>
    </row>
    <row r="22" spans="2:37" hidden="1">
      <c r="C22" s="11"/>
      <c r="D22" s="11"/>
      <c r="E22" s="1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99"/>
      <c r="S22" s="100" t="str">
        <f>IFERROR(VLOOKUP(E22,Anexo!$C$14:$D$20,2,FALSE),"")</f>
        <v/>
      </c>
      <c r="T22" s="102">
        <f t="shared" si="12"/>
        <v>0</v>
      </c>
      <c r="U22" s="101" t="str">
        <f>IFERROR(VLOOKUP(G22,Anexo!C7:D11,2,FALSE),"")</f>
        <v/>
      </c>
      <c r="V22" s="101" t="str">
        <f t="shared" si="13"/>
        <v/>
      </c>
      <c r="W22" s="95" t="str">
        <f>IFERROR(VLOOKUP(D22,FE!$B$92:$F$93,5,FALSE),"")</f>
        <v/>
      </c>
      <c r="X22" s="101" t="str">
        <f t="shared" si="14"/>
        <v/>
      </c>
      <c r="Y22" s="18">
        <f t="shared" si="9"/>
        <v>0</v>
      </c>
      <c r="Z22" s="18">
        <f t="shared" si="15"/>
        <v>0</v>
      </c>
      <c r="AA22" s="18">
        <f t="shared" si="10"/>
        <v>0</v>
      </c>
      <c r="AB22" s="18">
        <f>IF(Y22&gt;1,VLOOKUP(Y22,Anexo!$G$7:$H$19,2,FALSE),0)</f>
        <v>0</v>
      </c>
      <c r="AC22" s="30">
        <f t="shared" si="8"/>
        <v>0</v>
      </c>
      <c r="AD22" s="30">
        <f>IF(Y22&gt;0,VLOOKUP(#REF!,FE!$B$66:$G$87,3,FALSE),0)</f>
        <v>0</v>
      </c>
      <c r="AE22" s="30">
        <f t="shared" si="11"/>
        <v>0</v>
      </c>
      <c r="AF22" s="18">
        <f>IFERROR((#REF!*AE22)^2,0)</f>
        <v>0</v>
      </c>
    </row>
    <row r="23" spans="2:37" hidden="1">
      <c r="C23" s="11"/>
      <c r="D23" s="11"/>
      <c r="E23" s="11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99"/>
      <c r="S23" s="100" t="str">
        <f>IFERROR(VLOOKUP(E23,Anexo!$C$14:$D$20,2,FALSE),"")</f>
        <v/>
      </c>
      <c r="T23" s="102">
        <f t="shared" si="12"/>
        <v>0</v>
      </c>
      <c r="U23" s="101" t="str">
        <f>IFERROR(VLOOKUP(G23,Anexo!C7:D11,2,FALSE),"")</f>
        <v/>
      </c>
      <c r="V23" s="101" t="str">
        <f t="shared" si="13"/>
        <v/>
      </c>
      <c r="W23" s="95" t="str">
        <f>IFERROR(VLOOKUP(D23,FE!$B$92:$F$93,5,FALSE),"")</f>
        <v/>
      </c>
      <c r="X23" s="101" t="str">
        <f t="shared" si="14"/>
        <v/>
      </c>
      <c r="Y23" s="18">
        <f t="shared" si="9"/>
        <v>0</v>
      </c>
      <c r="Z23" s="18">
        <f t="shared" si="15"/>
        <v>0</v>
      </c>
      <c r="AA23" s="18">
        <f t="shared" si="10"/>
        <v>0</v>
      </c>
      <c r="AB23" s="18">
        <f>IF(Y23&gt;1,VLOOKUP(Y23,Anexo!$G$7:$H$19,2,FALSE),0)</f>
        <v>0</v>
      </c>
      <c r="AC23" s="30">
        <f t="shared" si="8"/>
        <v>0</v>
      </c>
      <c r="AD23" s="30">
        <f>IF(Y23&gt;0,VLOOKUP(#REF!,FE!$B$66:$G$87,3,FALSE),0)</f>
        <v>0</v>
      </c>
      <c r="AE23" s="30">
        <f t="shared" si="11"/>
        <v>0</v>
      </c>
      <c r="AF23" s="18">
        <f>IFERROR((#REF!*AE23)^2,0)</f>
        <v>0</v>
      </c>
    </row>
    <row r="24" spans="2:37" hidden="1">
      <c r="C24" s="11"/>
      <c r="D24" s="11"/>
      <c r="E24" s="1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99"/>
      <c r="S24" s="100"/>
      <c r="T24" s="102">
        <f t="shared" si="12"/>
        <v>0</v>
      </c>
      <c r="U24" s="101" t="str">
        <f>IFERROR(VLOOKUP(G24,Anexo!C7:D11,2,FALSE),"")</f>
        <v/>
      </c>
      <c r="V24" s="101" t="str">
        <f t="shared" si="13"/>
        <v/>
      </c>
      <c r="W24" s="95" t="str">
        <f>IFERROR(VLOOKUP(D24,FE!$B$92:$F$93,5,FALSE),"")</f>
        <v/>
      </c>
      <c r="X24" s="101" t="str">
        <f t="shared" si="14"/>
        <v/>
      </c>
      <c r="Y24" s="18">
        <f t="shared" si="9"/>
        <v>0</v>
      </c>
      <c r="Z24" s="18">
        <f t="shared" si="15"/>
        <v>0</v>
      </c>
      <c r="AA24" s="18">
        <f t="shared" si="10"/>
        <v>0</v>
      </c>
      <c r="AB24" s="18">
        <f>IF(Y24&gt;1,VLOOKUP(Y24,Anexo!$G$7:$H$19,2,FALSE),0)</f>
        <v>0</v>
      </c>
      <c r="AC24" s="30">
        <f t="shared" si="8"/>
        <v>0</v>
      </c>
      <c r="AD24" s="30">
        <f>IF(Y24&gt;0,VLOOKUP(#REF!,FE!$B$66:$G$87,3,FALSE),0)</f>
        <v>0</v>
      </c>
      <c r="AE24" s="30">
        <f t="shared" si="11"/>
        <v>0</v>
      </c>
      <c r="AF24" s="18">
        <f>IFERROR((#REF!*AE24)^2,0)</f>
        <v>0</v>
      </c>
    </row>
    <row r="25" spans="2:37" hidden="1">
      <c r="C25" s="11"/>
      <c r="D25" s="11"/>
      <c r="E25" s="1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99"/>
      <c r="S25" s="100" t="str">
        <f>IFERROR(VLOOKUP(E25,Anexo!$C$14:$D$20,2,FALSE),"")</f>
        <v/>
      </c>
      <c r="T25" s="102">
        <f t="shared" si="12"/>
        <v>0</v>
      </c>
      <c r="U25" s="101" t="str">
        <f>IFERROR(VLOOKUP(G25,Anexo!C7:D11,2,FALSE),"")</f>
        <v/>
      </c>
      <c r="V25" s="101" t="str">
        <f t="shared" si="13"/>
        <v/>
      </c>
      <c r="W25" s="95" t="str">
        <f>IFERROR(VLOOKUP(D25,FE!$B$92:$F$93,5,FALSE),"")</f>
        <v/>
      </c>
      <c r="X25" s="101" t="str">
        <f t="shared" si="14"/>
        <v/>
      </c>
      <c r="Y25" s="18">
        <f t="shared" si="9"/>
        <v>0</v>
      </c>
      <c r="Z25" s="18">
        <f t="shared" si="15"/>
        <v>0</v>
      </c>
      <c r="AA25" s="18">
        <f t="shared" si="10"/>
        <v>0</v>
      </c>
      <c r="AB25" s="18">
        <f>IF(Y25&gt;1,VLOOKUP(Y25,Anexo!$G$7:$H$19,2,FALSE),0)</f>
        <v>0</v>
      </c>
      <c r="AC25" s="30">
        <f t="shared" si="8"/>
        <v>0</v>
      </c>
      <c r="AD25" s="30">
        <f>IF(Y25&gt;0,VLOOKUP(#REF!,FE!$B$66:$G$87,3,FALSE),0)</f>
        <v>0</v>
      </c>
      <c r="AE25" s="30">
        <f t="shared" si="11"/>
        <v>0</v>
      </c>
      <c r="AF25" s="18">
        <f>IFERROR((#REF!*AE25)^2,0)</f>
        <v>0</v>
      </c>
    </row>
    <row r="26" spans="2:37" hidden="1">
      <c r="C26" s="11"/>
      <c r="D26" s="11"/>
      <c r="E26" s="1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99"/>
      <c r="S26" s="100" t="str">
        <f>IFERROR(VLOOKUP(E26,Anexo!$C$14:$D$20,2,FALSE),"")</f>
        <v/>
      </c>
      <c r="T26" s="102">
        <f t="shared" si="12"/>
        <v>0</v>
      </c>
      <c r="U26" s="101" t="str">
        <f>IFERROR(VLOOKUP(G26,Anexo!C7:D11,2,FALSE),"")</f>
        <v/>
      </c>
      <c r="V26" s="101" t="str">
        <f t="shared" si="13"/>
        <v/>
      </c>
      <c r="W26" s="95" t="str">
        <f>IFERROR(VLOOKUP(D26,FE!$B$92:$F$93,5,FALSE),"")</f>
        <v/>
      </c>
      <c r="X26" s="101" t="str">
        <f t="shared" si="14"/>
        <v/>
      </c>
      <c r="Y26" s="18">
        <f t="shared" si="9"/>
        <v>0</v>
      </c>
      <c r="Z26" s="18">
        <f t="shared" si="15"/>
        <v>0</v>
      </c>
      <c r="AA26" s="18">
        <f t="shared" si="10"/>
        <v>0</v>
      </c>
      <c r="AB26" s="18">
        <f>IF(Y26&gt;1,VLOOKUP(Y26,Anexo!$G$7:$H$19,2,FALSE),0)</f>
        <v>0</v>
      </c>
      <c r="AC26" s="30">
        <f t="shared" si="8"/>
        <v>0</v>
      </c>
      <c r="AD26" s="30">
        <f>IF(Y26&gt;0,VLOOKUP(#REF!,FE!$B$66:$G$87,3,FALSE),0)</f>
        <v>0</v>
      </c>
      <c r="AE26" s="30">
        <f t="shared" si="11"/>
        <v>0</v>
      </c>
      <c r="AF26" s="18">
        <f>IFERROR((#REF!*AE26)^2,0)</f>
        <v>0</v>
      </c>
    </row>
    <row r="27" spans="2:37" hidden="1">
      <c r="C27" s="11"/>
      <c r="D27" s="11"/>
      <c r="E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99"/>
      <c r="S27" s="100" t="str">
        <f>IFERROR(VLOOKUP(E27,Anexo!$C$14:$D$20,2,FALSE),"")</f>
        <v/>
      </c>
      <c r="T27" s="102">
        <f t="shared" si="12"/>
        <v>0</v>
      </c>
      <c r="U27" s="101" t="str">
        <f>IFERROR(VLOOKUP(G27,Anexo!C7:D11,2,FALSE),"")</f>
        <v/>
      </c>
      <c r="V27" s="101" t="str">
        <f t="shared" si="13"/>
        <v/>
      </c>
      <c r="W27" s="95" t="str">
        <f>IFERROR(VLOOKUP(D27,FE!$B$92:$F$93,5,FALSE),"")</f>
        <v/>
      </c>
      <c r="X27" s="101" t="str">
        <f t="shared" si="14"/>
        <v/>
      </c>
      <c r="Y27" s="18">
        <f t="shared" si="9"/>
        <v>0</v>
      </c>
      <c r="Z27" s="18">
        <f t="shared" si="15"/>
        <v>0</v>
      </c>
      <c r="AA27" s="18">
        <f t="shared" si="10"/>
        <v>0</v>
      </c>
      <c r="AB27" s="18">
        <f>IF(Y27&gt;1,VLOOKUP(Y27,Anexo!$G$7:$H$19,2,FALSE),0)</f>
        <v>0</v>
      </c>
      <c r="AC27" s="30">
        <f t="shared" si="8"/>
        <v>0</v>
      </c>
      <c r="AD27" s="30">
        <f>IF(Y27&gt;0,VLOOKUP(#REF!,FE!$B$66:$G$87,3,FALSE),0)</f>
        <v>0</v>
      </c>
      <c r="AE27" s="30">
        <f t="shared" si="11"/>
        <v>0</v>
      </c>
      <c r="AF27" s="18">
        <f>IFERROR((#REF!*AE27)^2,0)</f>
        <v>0</v>
      </c>
    </row>
    <row r="28" spans="2:37" hidden="1"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92"/>
      <c r="T28" s="94">
        <f>SUM(T19:T27)</f>
        <v>0</v>
      </c>
      <c r="U28" s="92"/>
      <c r="V28" s="93">
        <f>SUM(V19:V27)</f>
        <v>0</v>
      </c>
      <c r="W28" s="19"/>
      <c r="X28" s="93">
        <f>SUM(X19:X27)</f>
        <v>0</v>
      </c>
      <c r="Y28" s="76"/>
      <c r="AE28" s="105"/>
      <c r="AF28" s="106"/>
      <c r="AG28" s="103">
        <f>(Y28*AF28)^2</f>
        <v>0</v>
      </c>
    </row>
    <row r="29" spans="2:37" hidden="1"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E29" s="104"/>
      <c r="AF29" s="104"/>
    </row>
    <row r="30" spans="2:37" hidden="1">
      <c r="B30" s="2" t="s">
        <v>49</v>
      </c>
      <c r="C30" s="197" t="s">
        <v>190</v>
      </c>
      <c r="D30" s="197"/>
      <c r="E30" s="197"/>
      <c r="F30" s="197"/>
    </row>
    <row r="31" spans="2:37" ht="12.75" hidden="1" customHeight="1">
      <c r="C31" s="198" t="s">
        <v>191</v>
      </c>
      <c r="D31" s="198"/>
      <c r="E31" s="198"/>
      <c r="F31" s="198"/>
      <c r="G31" s="198"/>
      <c r="H31" s="198"/>
      <c r="I31" s="198"/>
      <c r="Z31" s="88"/>
      <c r="AA31" s="89"/>
      <c r="AB31" s="90"/>
      <c r="AC31" s="88"/>
      <c r="AD31" s="89"/>
      <c r="AE31" s="90"/>
      <c r="AF31" s="87"/>
      <c r="AG31" s="87"/>
      <c r="AH31" s="87"/>
      <c r="AI31" s="208"/>
      <c r="AJ31" s="209"/>
      <c r="AK31" s="210"/>
    </row>
    <row r="32" spans="2:37" ht="47.25" hidden="1" customHeight="1">
      <c r="C32" s="6" t="s">
        <v>6</v>
      </c>
      <c r="D32" s="91" t="s">
        <v>185</v>
      </c>
      <c r="E32" s="91" t="s">
        <v>186</v>
      </c>
      <c r="F32" s="7" t="s">
        <v>192</v>
      </c>
      <c r="G32" s="7" t="s">
        <v>193</v>
      </c>
      <c r="H32" s="7" t="s">
        <v>194</v>
      </c>
      <c r="I32" s="7" t="s">
        <v>9</v>
      </c>
      <c r="J32" s="5" t="s">
        <v>10</v>
      </c>
      <c r="K32" s="5" t="s">
        <v>11</v>
      </c>
      <c r="L32" s="5" t="s">
        <v>12</v>
      </c>
      <c r="M32" s="5" t="s">
        <v>13</v>
      </c>
      <c r="N32" s="5" t="s">
        <v>14</v>
      </c>
      <c r="O32" s="5" t="s">
        <v>15</v>
      </c>
      <c r="P32" s="5" t="s">
        <v>16</v>
      </c>
      <c r="Q32" s="5" t="s">
        <v>17</v>
      </c>
      <c r="R32" s="5" t="s">
        <v>18</v>
      </c>
      <c r="S32" s="5" t="s">
        <v>19</v>
      </c>
      <c r="T32" s="5" t="s">
        <v>20</v>
      </c>
      <c r="U32" s="5" t="s">
        <v>21</v>
      </c>
      <c r="V32" s="5" t="s">
        <v>22</v>
      </c>
      <c r="W32" s="5" t="s">
        <v>23</v>
      </c>
      <c r="X32" s="5" t="s">
        <v>188</v>
      </c>
      <c r="Y32" s="7" t="s">
        <v>195</v>
      </c>
      <c r="Z32" s="5" t="s">
        <v>33</v>
      </c>
      <c r="AA32" s="5" t="s">
        <v>34</v>
      </c>
      <c r="AB32" s="5" t="s">
        <v>35</v>
      </c>
      <c r="AC32" s="5" t="s">
        <v>36</v>
      </c>
      <c r="AD32" s="5" t="s">
        <v>37</v>
      </c>
      <c r="AE32" s="5" t="s">
        <v>38</v>
      </c>
      <c r="AF32" s="5" t="s">
        <v>39</v>
      </c>
      <c r="AG32" s="5" t="s">
        <v>40</v>
      </c>
      <c r="AH32" s="5" t="s">
        <v>41</v>
      </c>
    </row>
    <row r="33" spans="1:40" hidden="1">
      <c r="C33" s="11"/>
      <c r="D33" s="11"/>
      <c r="E33" s="11"/>
      <c r="F33" s="11"/>
      <c r="G33" s="11"/>
      <c r="H33" s="107"/>
      <c r="I33" s="1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>
        <f>SUM(J33:U33)</f>
        <v>0</v>
      </c>
      <c r="W33" s="85" t="str">
        <f>IFERROR(VLOOKUP(I33,Anexo!C7:D11,2,FALSE),"")</f>
        <v/>
      </c>
      <c r="X33" s="18" t="str">
        <f>IFERROR(W33*V33,"")</f>
        <v/>
      </c>
      <c r="Y33" s="86" t="str">
        <f>IFERROR(VLOOKUP(G33,FE!$D$86:$F$88,3,FALSE),"")</f>
        <v/>
      </c>
      <c r="Z33" s="18" t="str">
        <f>IFERROR(Y33*X33*H33,"")</f>
        <v/>
      </c>
      <c r="AA33" s="18">
        <f>COUNTIF(J33:U33,"&gt;0")</f>
        <v>0</v>
      </c>
      <c r="AB33" s="18">
        <f t="shared" ref="AB33:AB41" si="16">IF(AA33&gt;1,AVERAGE(J33:U33),0)</f>
        <v>0</v>
      </c>
      <c r="AC33" s="18">
        <f t="shared" ref="AC33:AC41" si="17">IF(AA33&gt;1,STDEV(J33:U33),0)</f>
        <v>0</v>
      </c>
      <c r="AD33" s="18">
        <f>IF(AA33&gt;1,VLOOKUP(AA33,Anexo!$G$7:$H$19,2,FALSE),0)</f>
        <v>0</v>
      </c>
      <c r="AE33" s="30">
        <f>IF(AA33&gt;1,1-((AB33-((AC33*AD33)/(SQRT(AA33))))/AB33),AF33)</f>
        <v>0</v>
      </c>
      <c r="AF33" s="30">
        <f>IF(AA33&gt;0,VLOOKUP(F33,FE!$I$10:$K$21,3,FALSE),0)</f>
        <v>0</v>
      </c>
      <c r="AG33" s="30">
        <f>SQRT((AE33*AE33)+(AF33*AF33))</f>
        <v>0</v>
      </c>
      <c r="AH33" s="18">
        <f>IFERROR((Z33*AG33)^2,0)</f>
        <v>0</v>
      </c>
    </row>
    <row r="34" spans="1:40" hidden="1">
      <c r="C34" s="11"/>
      <c r="D34" s="11"/>
      <c r="E34" s="11"/>
      <c r="F34" s="11"/>
      <c r="G34" s="11"/>
      <c r="H34" s="107"/>
      <c r="I34" s="11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18">
        <f t="shared" ref="V34:V41" si="18">SUM(J34:U34)</f>
        <v>0</v>
      </c>
      <c r="W34" s="18" t="str">
        <f>IFERROR(VLOOKUP(I34,Anexo!$C$24:$D$29,2,FALSE),"")</f>
        <v/>
      </c>
      <c r="X34" s="18" t="str">
        <f t="shared" ref="X34:X41" si="19">IFERROR(W34*V34,"")</f>
        <v/>
      </c>
      <c r="Y34" s="86" t="str">
        <f>IFERROR(VLOOKUP(G34,FE!$D$86:$F$88,3,FALSE),"")</f>
        <v/>
      </c>
      <c r="Z34" s="18" t="str">
        <f t="shared" ref="Z34:Z41" si="20">IFERROR(Y34*X34*H34,"")</f>
        <v/>
      </c>
      <c r="AA34" s="18">
        <f t="shared" ref="AA34:AA41" si="21">COUNTIF(J34:U34,"&gt;0")</f>
        <v>0</v>
      </c>
      <c r="AB34" s="18">
        <f t="shared" si="16"/>
        <v>0</v>
      </c>
      <c r="AC34" s="18">
        <f t="shared" si="17"/>
        <v>0</v>
      </c>
      <c r="AD34" s="18">
        <f>IF(AA34&gt;1,VLOOKUP(AA34,Anexo!$G$7:$H$19,2,FALSE),0)</f>
        <v>0</v>
      </c>
      <c r="AE34" s="30">
        <f t="shared" ref="AE34:AE41" si="22">IF(AA34&gt;1,1-((AB34-((AC34*AD34)/(SQRT(AA34))))/AB34),AF34)</f>
        <v>0</v>
      </c>
      <c r="AF34" s="30">
        <f>IF(AA34&gt;0,VLOOKUP(F34,FE!$I$10:$K$21,3,FALSE),0)</f>
        <v>0</v>
      </c>
      <c r="AG34" s="30">
        <f t="shared" ref="AG34:AG41" si="23">SQRT((AE34*AE34)+(AF34*AF34))</f>
        <v>0</v>
      </c>
      <c r="AH34" s="18">
        <f t="shared" ref="AH34:AH41" si="24">IFERROR((Z34*AG34)^2,0)</f>
        <v>0</v>
      </c>
    </row>
    <row r="35" spans="1:40" hidden="1">
      <c r="C35" s="11"/>
      <c r="D35" s="11"/>
      <c r="E35" s="11"/>
      <c r="F35" s="11"/>
      <c r="G35" s="11"/>
      <c r="H35" s="107"/>
      <c r="I35" s="11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>
        <f t="shared" si="18"/>
        <v>0</v>
      </c>
      <c r="W35" s="18" t="str">
        <f>IFERROR(VLOOKUP(I35,Anexo!$C$24:$D$29,2,FALSE),"")</f>
        <v/>
      </c>
      <c r="X35" s="18" t="str">
        <f t="shared" si="19"/>
        <v/>
      </c>
      <c r="Y35" s="86" t="str">
        <f>IFERROR(VLOOKUP(G35,FE!$D$86:$F$88,3,FALSE),"")</f>
        <v/>
      </c>
      <c r="Z35" s="18" t="str">
        <f t="shared" si="20"/>
        <v/>
      </c>
      <c r="AA35" s="18">
        <f t="shared" si="21"/>
        <v>0</v>
      </c>
      <c r="AB35" s="18">
        <f t="shared" si="16"/>
        <v>0</v>
      </c>
      <c r="AC35" s="18">
        <f t="shared" si="17"/>
        <v>0</v>
      </c>
      <c r="AD35" s="18">
        <f>IF(AA35&gt;1,VLOOKUP(AA35,Anexo!$G$7:$H$19,2,FALSE),0)</f>
        <v>0</v>
      </c>
      <c r="AE35" s="30">
        <f t="shared" si="22"/>
        <v>0</v>
      </c>
      <c r="AF35" s="30">
        <f>IF(AA35&gt;0,VLOOKUP(F35,FE!$I$10:$K$21,3,FALSE),0)</f>
        <v>0</v>
      </c>
      <c r="AG35" s="30">
        <f t="shared" si="23"/>
        <v>0</v>
      </c>
      <c r="AH35" s="18">
        <f t="shared" si="24"/>
        <v>0</v>
      </c>
    </row>
    <row r="36" spans="1:40" hidden="1">
      <c r="C36" s="11"/>
      <c r="D36" s="11"/>
      <c r="E36" s="11"/>
      <c r="F36" s="11"/>
      <c r="G36" s="11"/>
      <c r="H36" s="107"/>
      <c r="I36" s="1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>
        <f t="shared" si="18"/>
        <v>0</v>
      </c>
      <c r="W36" s="18" t="str">
        <f>IFERROR(VLOOKUP(I36,Anexo!$C$24:$D$29,2,FALSE),"")</f>
        <v/>
      </c>
      <c r="X36" s="18" t="str">
        <f t="shared" si="19"/>
        <v/>
      </c>
      <c r="Y36" s="86" t="str">
        <f>IFERROR(VLOOKUP(G36,FE!$D$86:$F$88,3,FALSE),"")</f>
        <v/>
      </c>
      <c r="Z36" s="18" t="str">
        <f t="shared" si="20"/>
        <v/>
      </c>
      <c r="AA36" s="18">
        <f t="shared" si="21"/>
        <v>0</v>
      </c>
      <c r="AB36" s="18">
        <f t="shared" si="16"/>
        <v>0</v>
      </c>
      <c r="AC36" s="18">
        <f t="shared" si="17"/>
        <v>0</v>
      </c>
      <c r="AD36" s="18">
        <f>IF(AA36&gt;1,VLOOKUP(AA36,Anexo!$G$7:$H$19,2,FALSE),0)</f>
        <v>0</v>
      </c>
      <c r="AE36" s="30">
        <f t="shared" si="22"/>
        <v>0</v>
      </c>
      <c r="AF36" s="30">
        <f>IF(AA36&gt;0,VLOOKUP(F36,FE!$I$10:$K$21,3,FALSE),0)</f>
        <v>0</v>
      </c>
      <c r="AG36" s="30">
        <f t="shared" si="23"/>
        <v>0</v>
      </c>
      <c r="AH36" s="18">
        <f t="shared" si="24"/>
        <v>0</v>
      </c>
    </row>
    <row r="37" spans="1:40" hidden="1">
      <c r="C37" s="11"/>
      <c r="D37" s="11"/>
      <c r="E37" s="11"/>
      <c r="F37" s="11"/>
      <c r="G37" s="11"/>
      <c r="H37" s="107"/>
      <c r="I37" s="11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>
        <f t="shared" si="18"/>
        <v>0</v>
      </c>
      <c r="W37" s="18" t="str">
        <f>IFERROR(VLOOKUP(I37,Anexo!$C$24:$D$29,2,FALSE),"")</f>
        <v/>
      </c>
      <c r="X37" s="18" t="str">
        <f t="shared" si="19"/>
        <v/>
      </c>
      <c r="Y37" s="86" t="str">
        <f>IFERROR(VLOOKUP(G37,FE!$D$86:$F$88,3,FALSE),"")</f>
        <v/>
      </c>
      <c r="Z37" s="18" t="str">
        <f t="shared" si="20"/>
        <v/>
      </c>
      <c r="AA37" s="18">
        <f t="shared" si="21"/>
        <v>0</v>
      </c>
      <c r="AB37" s="18">
        <f t="shared" si="16"/>
        <v>0</v>
      </c>
      <c r="AC37" s="18">
        <f t="shared" si="17"/>
        <v>0</v>
      </c>
      <c r="AD37" s="18">
        <f>IF(AA37&gt;1,VLOOKUP(AA37,Anexo!$G$7:$H$19,2,FALSE),0)</f>
        <v>0</v>
      </c>
      <c r="AE37" s="30">
        <f t="shared" si="22"/>
        <v>0</v>
      </c>
      <c r="AF37" s="30">
        <f>IF(AA37&gt;0,VLOOKUP(F37,FE!$I$10:$K$21,3,FALSE),0)</f>
        <v>0</v>
      </c>
      <c r="AG37" s="30">
        <f t="shared" si="23"/>
        <v>0</v>
      </c>
      <c r="AH37" s="18">
        <f t="shared" si="24"/>
        <v>0</v>
      </c>
    </row>
    <row r="38" spans="1:40" hidden="1">
      <c r="C38" s="11"/>
      <c r="D38" s="11"/>
      <c r="E38" s="11"/>
      <c r="F38" s="11"/>
      <c r="G38" s="11"/>
      <c r="H38" s="107"/>
      <c r="I38" s="11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>
        <f t="shared" si="18"/>
        <v>0</v>
      </c>
      <c r="W38" s="18" t="str">
        <f>IFERROR(VLOOKUP(I38,Anexo!$C$24:$D$29,2,FALSE),"")</f>
        <v/>
      </c>
      <c r="X38" s="18" t="str">
        <f t="shared" si="19"/>
        <v/>
      </c>
      <c r="Y38" s="86" t="str">
        <f>IFERROR(VLOOKUP(G38,FE!$D$86:$F$88,3,FALSE),"")</f>
        <v/>
      </c>
      <c r="Z38" s="18" t="str">
        <f t="shared" si="20"/>
        <v/>
      </c>
      <c r="AA38" s="18">
        <f t="shared" si="21"/>
        <v>0</v>
      </c>
      <c r="AB38" s="18">
        <f t="shared" si="16"/>
        <v>0</v>
      </c>
      <c r="AC38" s="18">
        <f t="shared" si="17"/>
        <v>0</v>
      </c>
      <c r="AD38" s="18">
        <f>IF(AA38&gt;1,VLOOKUP(AA38,Anexo!$G$7:$H$19,2,FALSE),0)</f>
        <v>0</v>
      </c>
      <c r="AE38" s="30">
        <f t="shared" si="22"/>
        <v>0</v>
      </c>
      <c r="AF38" s="30">
        <f>IF(AA38&gt;0,VLOOKUP(F38,FE!$I$10:$K$21,3,FALSE),0)</f>
        <v>0</v>
      </c>
      <c r="AG38" s="30">
        <f t="shared" si="23"/>
        <v>0</v>
      </c>
      <c r="AH38" s="18">
        <f t="shared" si="24"/>
        <v>0</v>
      </c>
    </row>
    <row r="39" spans="1:40" hidden="1">
      <c r="C39" s="11"/>
      <c r="D39" s="11"/>
      <c r="E39" s="11"/>
      <c r="F39" s="11"/>
      <c r="G39" s="11"/>
      <c r="H39" s="107"/>
      <c r="I39" s="1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>
        <f t="shared" si="18"/>
        <v>0</v>
      </c>
      <c r="W39" s="18" t="str">
        <f>IFERROR(VLOOKUP(I39,Anexo!$C$24:$D$29,2,FALSE),"")</f>
        <v/>
      </c>
      <c r="X39" s="18" t="str">
        <f t="shared" si="19"/>
        <v/>
      </c>
      <c r="Y39" s="86" t="str">
        <f>IFERROR(VLOOKUP(G39,FE!$D$86:$F$88,3,FALSE),"")</f>
        <v/>
      </c>
      <c r="Z39" s="18" t="str">
        <f t="shared" si="20"/>
        <v/>
      </c>
      <c r="AA39" s="18">
        <f t="shared" si="21"/>
        <v>0</v>
      </c>
      <c r="AB39" s="18">
        <f t="shared" si="16"/>
        <v>0</v>
      </c>
      <c r="AC39" s="18">
        <f t="shared" si="17"/>
        <v>0</v>
      </c>
      <c r="AD39" s="18">
        <f>IF(AA39&gt;1,VLOOKUP(AA39,Anexo!$G$7:$H$19,2,FALSE),0)</f>
        <v>0</v>
      </c>
      <c r="AE39" s="30">
        <f t="shared" si="22"/>
        <v>0</v>
      </c>
      <c r="AF39" s="30">
        <f>IF(AA39&gt;0,VLOOKUP(F39,FE!$I$10:$K$21,3,FALSE),0)</f>
        <v>0</v>
      </c>
      <c r="AG39" s="30">
        <f t="shared" si="23"/>
        <v>0</v>
      </c>
      <c r="AH39" s="18">
        <f t="shared" si="24"/>
        <v>0</v>
      </c>
    </row>
    <row r="40" spans="1:40" hidden="1">
      <c r="C40" s="11"/>
      <c r="D40" s="11"/>
      <c r="E40" s="11"/>
      <c r="F40" s="11"/>
      <c r="G40" s="11"/>
      <c r="H40" s="107"/>
      <c r="I40" s="1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>
        <f t="shared" si="18"/>
        <v>0</v>
      </c>
      <c r="W40" s="18" t="str">
        <f>IFERROR(VLOOKUP(I40,Anexo!$C$24:$D$29,2,FALSE),"")</f>
        <v/>
      </c>
      <c r="X40" s="18" t="str">
        <f t="shared" si="19"/>
        <v/>
      </c>
      <c r="Y40" s="86" t="str">
        <f>IFERROR(VLOOKUP(G40,FE!$D$86:$F$88,3,FALSE),"")</f>
        <v/>
      </c>
      <c r="Z40" s="18" t="str">
        <f t="shared" si="20"/>
        <v/>
      </c>
      <c r="AA40" s="18">
        <f t="shared" si="21"/>
        <v>0</v>
      </c>
      <c r="AB40" s="18">
        <f t="shared" si="16"/>
        <v>0</v>
      </c>
      <c r="AC40" s="18">
        <f t="shared" si="17"/>
        <v>0</v>
      </c>
      <c r="AD40" s="18">
        <f>IF(AA40&gt;1,VLOOKUP(AA40,Anexo!$G$7:$H$19,2,FALSE),0)</f>
        <v>0</v>
      </c>
      <c r="AE40" s="30">
        <f t="shared" si="22"/>
        <v>0</v>
      </c>
      <c r="AF40" s="30">
        <f>IF(AA40&gt;0,VLOOKUP(F40,FE!$I$10:$K$21,3,FALSE),0)</f>
        <v>0</v>
      </c>
      <c r="AG40" s="30">
        <f t="shared" si="23"/>
        <v>0</v>
      </c>
      <c r="AH40" s="18">
        <f t="shared" si="24"/>
        <v>0</v>
      </c>
    </row>
    <row r="41" spans="1:40" hidden="1">
      <c r="C41" s="11"/>
      <c r="D41" s="11"/>
      <c r="E41" s="11"/>
      <c r="F41" s="11"/>
      <c r="G41" s="11"/>
      <c r="H41" s="107"/>
      <c r="I41" s="11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>
        <f t="shared" si="18"/>
        <v>0</v>
      </c>
      <c r="W41" s="18" t="str">
        <f>IFERROR(VLOOKUP(I41,Anexo!$C$24:$D$29,2,FALSE),"")</f>
        <v/>
      </c>
      <c r="X41" s="18" t="str">
        <f t="shared" si="19"/>
        <v/>
      </c>
      <c r="Y41" s="86" t="str">
        <f>IFERROR(VLOOKUP(G41,FE!$D$86:$F$88,3,FALSE),"")</f>
        <v/>
      </c>
      <c r="Z41" s="18" t="str">
        <f t="shared" si="20"/>
        <v/>
      </c>
      <c r="AA41" s="18">
        <f t="shared" si="21"/>
        <v>0</v>
      </c>
      <c r="AB41" s="18">
        <f t="shared" si="16"/>
        <v>0</v>
      </c>
      <c r="AC41" s="18">
        <f t="shared" si="17"/>
        <v>0</v>
      </c>
      <c r="AD41" s="18">
        <f>IF(AA41&gt;1,VLOOKUP(AA41,Anexo!$G$7:$H$19,2,FALSE),0)</f>
        <v>0</v>
      </c>
      <c r="AE41" s="30">
        <f t="shared" si="22"/>
        <v>0</v>
      </c>
      <c r="AF41" s="30">
        <f>IF(AA41&gt;0,VLOOKUP(F41,FE!$I$10:$K$21,3,FALSE),0)</f>
        <v>0</v>
      </c>
      <c r="AG41" s="30">
        <f t="shared" si="23"/>
        <v>0</v>
      </c>
      <c r="AH41" s="18">
        <f t="shared" si="24"/>
        <v>0</v>
      </c>
    </row>
    <row r="42" spans="1:40" hidden="1">
      <c r="V42" s="29">
        <f>SUM(V33:V41)</f>
        <v>0</v>
      </c>
      <c r="X42" s="29">
        <f>SUM(X33:X41)</f>
        <v>0</v>
      </c>
      <c r="Z42" s="29">
        <f>SUM(Z33:Z41)</f>
        <v>0</v>
      </c>
      <c r="AA42" s="29">
        <f>SUM(Z33:Z41)</f>
        <v>0</v>
      </c>
      <c r="AE42" s="31">
        <f>IF(AA42&gt;0,SQRT(SUM(AH33:AH41))/AA42,0)</f>
        <v>0</v>
      </c>
      <c r="AF42" s="29">
        <f>(AA42*AE42)^2</f>
        <v>0</v>
      </c>
    </row>
    <row r="43" spans="1:40" customFormat="1" ht="15">
      <c r="A43" s="158"/>
      <c r="B43" s="168" t="s">
        <v>42</v>
      </c>
      <c r="C43" s="211" t="s">
        <v>196</v>
      </c>
      <c r="D43" s="225"/>
      <c r="E43" s="225"/>
      <c r="F43" s="225"/>
      <c r="G43" s="226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customFormat="1" ht="25.5" customHeight="1">
      <c r="A44" s="158"/>
      <c r="B44" s="158"/>
      <c r="C44" s="212" t="s">
        <v>197</v>
      </c>
      <c r="D44" s="227"/>
      <c r="E44" s="227"/>
      <c r="F44" s="227"/>
      <c r="G44" s="22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customFormat="1" ht="51">
      <c r="A45" s="158"/>
      <c r="B45" s="158"/>
      <c r="C45" s="159" t="s">
        <v>6</v>
      </c>
      <c r="D45" s="160" t="s">
        <v>198</v>
      </c>
      <c r="E45" s="161" t="s">
        <v>199</v>
      </c>
      <c r="F45" s="161" t="s">
        <v>200</v>
      </c>
      <c r="G45" s="161" t="s">
        <v>201</v>
      </c>
      <c r="H45" s="161" t="s">
        <v>202</v>
      </c>
      <c r="I45" s="172" t="s">
        <v>203</v>
      </c>
      <c r="J45" s="162" t="s">
        <v>33</v>
      </c>
      <c r="K45" s="162" t="s">
        <v>34</v>
      </c>
      <c r="L45" s="162" t="s">
        <v>35</v>
      </c>
      <c r="M45" s="162" t="s">
        <v>36</v>
      </c>
      <c r="N45" s="162" t="s">
        <v>37</v>
      </c>
      <c r="O45" s="162" t="s">
        <v>38</v>
      </c>
      <c r="P45" s="162" t="s">
        <v>39</v>
      </c>
      <c r="Q45" s="162" t="s">
        <v>40</v>
      </c>
      <c r="R45" s="162" t="s">
        <v>41</v>
      </c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customFormat="1" ht="25.5">
      <c r="A46" s="158"/>
      <c r="B46" s="158"/>
      <c r="C46" s="11" t="s">
        <v>92</v>
      </c>
      <c r="D46" s="163" t="s">
        <v>204</v>
      </c>
      <c r="E46" s="164" t="s">
        <v>205</v>
      </c>
      <c r="F46" s="164" t="s">
        <v>206</v>
      </c>
      <c r="G46" s="163" t="s">
        <v>207</v>
      </c>
      <c r="H46" s="164">
        <v>1</v>
      </c>
      <c r="I46" s="165">
        <v>44.3</v>
      </c>
      <c r="J46" s="165">
        <f>IFERROR(I46/1000,"")</f>
        <v>4.4299999999999999E-2</v>
      </c>
      <c r="K46" s="18">
        <f>COUNTIF(H46,"&gt;0")</f>
        <v>1</v>
      </c>
      <c r="L46" s="18">
        <f>IF(K46&gt;1,AVERAGE(H46),0)</f>
        <v>0</v>
      </c>
      <c r="M46" s="18">
        <f>IF(K46&gt;1,STDEV(H46),0)</f>
        <v>0</v>
      </c>
      <c r="N46" s="18">
        <f>IF(K46&gt;1,VLOOKUP(K46,Anexo!$G$7:$H$19,2,FALSE),0)</f>
        <v>0</v>
      </c>
      <c r="O46" s="30">
        <f>IF(K46&gt;1,1-((L46-((M46*N46)/(SQRT(K46))))/L46),P46)</f>
        <v>0.05</v>
      </c>
      <c r="P46" s="30">
        <v>0.05</v>
      </c>
      <c r="Q46" s="30">
        <f>SQRT((O46*O46)+(P46*P46))</f>
        <v>7.0710678118654766E-2</v>
      </c>
      <c r="R46" s="165">
        <f>IFERROR((J46*Q46)^2,0)</f>
        <v>9.8124500000000029E-6</v>
      </c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</row>
    <row r="47" spans="1:40" customFormat="1" ht="25.5">
      <c r="A47" s="158"/>
      <c r="B47" s="158"/>
      <c r="C47" s="11" t="s">
        <v>92</v>
      </c>
      <c r="D47" s="163" t="s">
        <v>208</v>
      </c>
      <c r="E47" s="164" t="s">
        <v>206</v>
      </c>
      <c r="F47" s="164" t="s">
        <v>209</v>
      </c>
      <c r="G47" s="163" t="s">
        <v>207</v>
      </c>
      <c r="H47" s="164">
        <v>1</v>
      </c>
      <c r="I47" s="165">
        <v>351.6</v>
      </c>
      <c r="J47" s="165">
        <f t="shared" ref="J47:J57" si="25">IFERROR(I47/1000,"")</f>
        <v>0.35160000000000002</v>
      </c>
      <c r="K47" s="18">
        <f t="shared" ref="K47:K57" si="26">COUNTIF(H47,"&gt;0")</f>
        <v>1</v>
      </c>
      <c r="L47" s="18">
        <f t="shared" ref="L47:L57" si="27">IF(K47&gt;1,AVERAGE(H47),0)</f>
        <v>0</v>
      </c>
      <c r="M47" s="18">
        <f t="shared" ref="M47:M57" si="28">IF(K47&gt;1,STDEV(H47),0)</f>
        <v>0</v>
      </c>
      <c r="N47" s="18">
        <f>IF(K47&gt;1,VLOOKUP(K47,Anexo!$G$7:$H$19,2,FALSE),0)</f>
        <v>0</v>
      </c>
      <c r="O47" s="30">
        <f t="shared" ref="O47:O57" si="29">IF(K47&gt;1,1-((L47-((M47*N47)/(SQRT(K47))))/L47),P47)</f>
        <v>0.05</v>
      </c>
      <c r="P47" s="30">
        <v>0.05</v>
      </c>
      <c r="Q47" s="30">
        <f t="shared" ref="Q47:Q56" si="30">SQRT((O47*O47)+(P47*P47))</f>
        <v>7.0710678118654766E-2</v>
      </c>
      <c r="R47" s="165">
        <f t="shared" ref="R47:R57" si="31">IFERROR((J47*Q47)^2,0)</f>
        <v>6.1811280000000025E-4</v>
      </c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</row>
    <row r="48" spans="1:40" customFormat="1" ht="25.5">
      <c r="A48" s="158"/>
      <c r="B48" s="158"/>
      <c r="C48" s="11" t="s">
        <v>92</v>
      </c>
      <c r="D48" s="163" t="s">
        <v>204</v>
      </c>
      <c r="E48" s="164" t="s">
        <v>209</v>
      </c>
      <c r="F48" s="164" t="s">
        <v>210</v>
      </c>
      <c r="G48" s="163" t="s">
        <v>207</v>
      </c>
      <c r="H48" s="164">
        <v>1</v>
      </c>
      <c r="I48" s="165">
        <v>58.7</v>
      </c>
      <c r="J48" s="165">
        <f t="shared" si="25"/>
        <v>5.8700000000000002E-2</v>
      </c>
      <c r="K48" s="18">
        <f t="shared" si="26"/>
        <v>1</v>
      </c>
      <c r="L48" s="18">
        <f t="shared" si="27"/>
        <v>0</v>
      </c>
      <c r="M48" s="18">
        <f t="shared" si="28"/>
        <v>0</v>
      </c>
      <c r="N48" s="18">
        <f>IF(K48&gt;1,VLOOKUP(K48,Anexo!$G$7:$H$19,2,FALSE),0)</f>
        <v>0</v>
      </c>
      <c r="O48" s="30">
        <f t="shared" si="29"/>
        <v>0.05</v>
      </c>
      <c r="P48" s="30">
        <v>0.05</v>
      </c>
      <c r="Q48" s="30">
        <f t="shared" si="30"/>
        <v>7.0710678118654766E-2</v>
      </c>
      <c r="R48" s="165">
        <f t="shared" si="31"/>
        <v>1.722845000000001E-5</v>
      </c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</row>
    <row r="49" spans="1:40" customFormat="1" ht="25.5">
      <c r="A49" s="158"/>
      <c r="B49" s="158"/>
      <c r="C49" s="11" t="s">
        <v>92</v>
      </c>
      <c r="D49" s="163" t="s">
        <v>204</v>
      </c>
      <c r="E49" s="164" t="s">
        <v>206</v>
      </c>
      <c r="F49" s="164" t="s">
        <v>211</v>
      </c>
      <c r="G49" s="163" t="s">
        <v>207</v>
      </c>
      <c r="H49" s="164">
        <v>4</v>
      </c>
      <c r="I49" s="165">
        <v>177.5</v>
      </c>
      <c r="J49" s="165">
        <f t="shared" si="25"/>
        <v>0.17749999999999999</v>
      </c>
      <c r="K49" s="18">
        <f t="shared" si="26"/>
        <v>1</v>
      </c>
      <c r="L49" s="18">
        <f t="shared" si="27"/>
        <v>0</v>
      </c>
      <c r="M49" s="18">
        <f t="shared" si="28"/>
        <v>0</v>
      </c>
      <c r="N49" s="18">
        <f>IF(K49&gt;1,VLOOKUP(K49,Anexo!$G$7:$H$19,2,FALSE),0)</f>
        <v>0</v>
      </c>
      <c r="O49" s="30">
        <f t="shared" si="29"/>
        <v>0.05</v>
      </c>
      <c r="P49" s="30">
        <v>0.05</v>
      </c>
      <c r="Q49" s="30">
        <f t="shared" si="30"/>
        <v>7.0710678118654766E-2</v>
      </c>
      <c r="R49" s="165">
        <f t="shared" si="31"/>
        <v>1.5753125000000006E-4</v>
      </c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</row>
    <row r="50" spans="1:40" customFormat="1" ht="25.5">
      <c r="A50" s="158"/>
      <c r="B50" s="158"/>
      <c r="C50" s="11" t="s">
        <v>92</v>
      </c>
      <c r="D50" s="163" t="s">
        <v>204</v>
      </c>
      <c r="E50" s="164" t="s">
        <v>205</v>
      </c>
      <c r="F50" s="164" t="s">
        <v>206</v>
      </c>
      <c r="G50" s="163" t="s">
        <v>207</v>
      </c>
      <c r="H50" s="164">
        <v>4</v>
      </c>
      <c r="I50" s="165">
        <v>177.2</v>
      </c>
      <c r="J50" s="165">
        <f t="shared" si="25"/>
        <v>0.1772</v>
      </c>
      <c r="K50" s="18">
        <f t="shared" si="26"/>
        <v>1</v>
      </c>
      <c r="L50" s="18">
        <f t="shared" si="27"/>
        <v>0</v>
      </c>
      <c r="M50" s="18">
        <f t="shared" si="28"/>
        <v>0</v>
      </c>
      <c r="N50" s="18">
        <f>IF(K50&gt;1,VLOOKUP(K50,Anexo!$G$7:$H$19,2,FALSE),0)</f>
        <v>0</v>
      </c>
      <c r="O50" s="30">
        <f t="shared" si="29"/>
        <v>0.05</v>
      </c>
      <c r="P50" s="30">
        <v>0.05</v>
      </c>
      <c r="Q50" s="30">
        <f t="shared" si="30"/>
        <v>7.0710678118654766E-2</v>
      </c>
      <c r="R50" s="165">
        <f t="shared" si="31"/>
        <v>1.5699920000000005E-4</v>
      </c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</row>
    <row r="51" spans="1:40" customFormat="1" ht="25.5">
      <c r="A51" s="158"/>
      <c r="B51" s="158"/>
      <c r="C51" s="11" t="s">
        <v>92</v>
      </c>
      <c r="D51" s="163" t="s">
        <v>204</v>
      </c>
      <c r="E51" s="169" t="s">
        <v>212</v>
      </c>
      <c r="F51" s="169" t="s">
        <v>213</v>
      </c>
      <c r="G51" s="163" t="s">
        <v>207</v>
      </c>
      <c r="H51" s="164">
        <v>1</v>
      </c>
      <c r="I51" s="165">
        <v>53.3</v>
      </c>
      <c r="J51" s="165">
        <f t="shared" si="25"/>
        <v>5.33E-2</v>
      </c>
      <c r="K51" s="18">
        <f t="shared" si="26"/>
        <v>1</v>
      </c>
      <c r="L51" s="18">
        <f t="shared" si="27"/>
        <v>0</v>
      </c>
      <c r="M51" s="18">
        <f t="shared" si="28"/>
        <v>0</v>
      </c>
      <c r="N51" s="18">
        <f>IF(K51&gt;1,VLOOKUP(K51,Anexo!$G$7:$H$19,2,FALSE),0)</f>
        <v>0</v>
      </c>
      <c r="O51" s="30">
        <f t="shared" si="29"/>
        <v>0.05</v>
      </c>
      <c r="P51" s="30">
        <v>0.05</v>
      </c>
      <c r="Q51" s="30">
        <f t="shared" si="30"/>
        <v>7.0710678118654766E-2</v>
      </c>
      <c r="R51" s="165">
        <f t="shared" si="31"/>
        <v>1.4204450000000006E-5</v>
      </c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</row>
    <row r="52" spans="1:40" customFormat="1" ht="25.5">
      <c r="A52" s="158"/>
      <c r="B52" s="158"/>
      <c r="C52" s="11" t="s">
        <v>92</v>
      </c>
      <c r="D52" s="163" t="s">
        <v>204</v>
      </c>
      <c r="E52" s="169" t="s">
        <v>213</v>
      </c>
      <c r="F52" s="169" t="s">
        <v>214</v>
      </c>
      <c r="G52" s="163" t="s">
        <v>207</v>
      </c>
      <c r="H52" s="164">
        <v>1</v>
      </c>
      <c r="I52" s="165">
        <v>44.4</v>
      </c>
      <c r="J52" s="165">
        <f t="shared" si="25"/>
        <v>4.4400000000000002E-2</v>
      </c>
      <c r="K52" s="18">
        <f t="shared" si="26"/>
        <v>1</v>
      </c>
      <c r="L52" s="18">
        <f t="shared" si="27"/>
        <v>0</v>
      </c>
      <c r="M52" s="18">
        <f t="shared" si="28"/>
        <v>0</v>
      </c>
      <c r="N52" s="18">
        <f>IF(K52&gt;1,VLOOKUP(K52,Anexo!$G$7:$H$19,2,FALSE),0)</f>
        <v>0</v>
      </c>
      <c r="O52" s="30">
        <f t="shared" si="29"/>
        <v>0.05</v>
      </c>
      <c r="P52" s="30">
        <v>0.05</v>
      </c>
      <c r="Q52" s="30">
        <f t="shared" si="30"/>
        <v>7.0710678118654766E-2</v>
      </c>
      <c r="R52" s="165">
        <f t="shared" si="31"/>
        <v>9.8568000000000053E-6</v>
      </c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</row>
    <row r="53" spans="1:40" customFormat="1" ht="25.5">
      <c r="A53" s="158"/>
      <c r="B53" s="158"/>
      <c r="C53" s="11" t="s">
        <v>92</v>
      </c>
      <c r="D53" s="163" t="s">
        <v>204</v>
      </c>
      <c r="E53" s="169" t="s">
        <v>214</v>
      </c>
      <c r="F53" s="169" t="s">
        <v>215</v>
      </c>
      <c r="G53" s="163" t="s">
        <v>207</v>
      </c>
      <c r="H53" s="164">
        <v>1</v>
      </c>
      <c r="I53" s="165">
        <v>46.5</v>
      </c>
      <c r="J53" s="165">
        <f t="shared" si="25"/>
        <v>4.65E-2</v>
      </c>
      <c r="K53" s="18">
        <f t="shared" si="26"/>
        <v>1</v>
      </c>
      <c r="L53" s="18">
        <f t="shared" si="27"/>
        <v>0</v>
      </c>
      <c r="M53" s="18">
        <f t="shared" si="28"/>
        <v>0</v>
      </c>
      <c r="N53" s="18">
        <f>IF(K53&gt;1,VLOOKUP(K53,Anexo!$G$7:$H$19,2,FALSE),0)</f>
        <v>0</v>
      </c>
      <c r="O53" s="30">
        <f t="shared" si="29"/>
        <v>0.05</v>
      </c>
      <c r="P53" s="30">
        <v>0.05</v>
      </c>
      <c r="Q53" s="30">
        <f t="shared" si="30"/>
        <v>7.0710678118654766E-2</v>
      </c>
      <c r="R53" s="165">
        <f t="shared" si="31"/>
        <v>1.0811250000000004E-5</v>
      </c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</row>
    <row r="54" spans="1:40" customFormat="1" ht="25.5">
      <c r="A54" s="158"/>
      <c r="B54" s="158"/>
      <c r="C54" s="11" t="s">
        <v>92</v>
      </c>
      <c r="D54" s="163" t="s">
        <v>204</v>
      </c>
      <c r="E54" s="164" t="s">
        <v>216</v>
      </c>
      <c r="F54" s="164" t="s">
        <v>217</v>
      </c>
      <c r="G54" s="163" t="s">
        <v>207</v>
      </c>
      <c r="H54" s="164">
        <v>1</v>
      </c>
      <c r="I54" s="165">
        <v>52.2</v>
      </c>
      <c r="J54" s="165">
        <f t="shared" si="25"/>
        <v>5.2200000000000003E-2</v>
      </c>
      <c r="K54" s="18">
        <f t="shared" si="26"/>
        <v>1</v>
      </c>
      <c r="L54" s="18">
        <f t="shared" si="27"/>
        <v>0</v>
      </c>
      <c r="M54" s="18">
        <f t="shared" si="28"/>
        <v>0</v>
      </c>
      <c r="N54" s="18">
        <f>IF(K54&gt;1,VLOOKUP(K54,Anexo!$G$7:$H$19,2,FALSE),0)</f>
        <v>0</v>
      </c>
      <c r="O54" s="30">
        <f t="shared" si="29"/>
        <v>0.05</v>
      </c>
      <c r="P54" s="30">
        <v>0.05</v>
      </c>
      <c r="Q54" s="30">
        <f t="shared" si="30"/>
        <v>7.0710678118654766E-2</v>
      </c>
      <c r="R54" s="165">
        <f t="shared" si="31"/>
        <v>1.3624200000000008E-5</v>
      </c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</row>
    <row r="55" spans="1:40" customFormat="1" ht="30.75" customHeight="1">
      <c r="A55" s="158"/>
      <c r="B55" s="158"/>
      <c r="C55" s="11" t="s">
        <v>92</v>
      </c>
      <c r="D55" s="163" t="s">
        <v>204</v>
      </c>
      <c r="E55" s="166" t="s">
        <v>218</v>
      </c>
      <c r="F55" s="166" t="s">
        <v>206</v>
      </c>
      <c r="G55" s="163" t="s">
        <v>207</v>
      </c>
      <c r="H55" s="164">
        <v>1</v>
      </c>
      <c r="I55" s="165">
        <v>45.3</v>
      </c>
      <c r="J55" s="165">
        <f t="shared" si="25"/>
        <v>4.53E-2</v>
      </c>
      <c r="K55" s="18">
        <f t="shared" si="26"/>
        <v>1</v>
      </c>
      <c r="L55" s="18">
        <f t="shared" si="27"/>
        <v>0</v>
      </c>
      <c r="M55" s="18">
        <f t="shared" si="28"/>
        <v>0</v>
      </c>
      <c r="N55" s="18">
        <f>IF(K55&gt;1,VLOOKUP(K55,Anexo!$G$7:$H$19,2,FALSE),0)</f>
        <v>0</v>
      </c>
      <c r="O55" s="30">
        <f t="shared" si="29"/>
        <v>0.05</v>
      </c>
      <c r="P55" s="30">
        <v>0.05</v>
      </c>
      <c r="Q55" s="30">
        <f t="shared" si="30"/>
        <v>7.0710678118654766E-2</v>
      </c>
      <c r="R55" s="165">
        <f t="shared" si="31"/>
        <v>1.0260450000000003E-5</v>
      </c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</row>
    <row r="56" spans="1:40" customFormat="1" ht="31.5" customHeight="1">
      <c r="A56" s="158"/>
      <c r="B56" s="158"/>
      <c r="C56" s="11" t="s">
        <v>92</v>
      </c>
      <c r="D56" s="163" t="s">
        <v>204</v>
      </c>
      <c r="E56" s="166" t="s">
        <v>206</v>
      </c>
      <c r="F56" s="166" t="s">
        <v>211</v>
      </c>
      <c r="G56" s="163" t="s">
        <v>207</v>
      </c>
      <c r="H56" s="164">
        <v>1</v>
      </c>
      <c r="I56" s="165">
        <v>44.4</v>
      </c>
      <c r="J56" s="165">
        <f t="shared" si="25"/>
        <v>4.4400000000000002E-2</v>
      </c>
      <c r="K56" s="18">
        <f t="shared" si="26"/>
        <v>1</v>
      </c>
      <c r="L56" s="18">
        <f t="shared" si="27"/>
        <v>0</v>
      </c>
      <c r="M56" s="18">
        <f t="shared" si="28"/>
        <v>0</v>
      </c>
      <c r="N56" s="18">
        <f>IF(K56&gt;1,VLOOKUP(K56,Anexo!$G$7:$H$19,2,FALSE),0)</f>
        <v>0</v>
      </c>
      <c r="O56" s="30">
        <f t="shared" si="29"/>
        <v>0.05</v>
      </c>
      <c r="P56" s="30">
        <v>0.05</v>
      </c>
      <c r="Q56" s="30">
        <f t="shared" si="30"/>
        <v>7.0710678118654766E-2</v>
      </c>
      <c r="R56" s="165">
        <f t="shared" si="31"/>
        <v>9.8568000000000053E-6</v>
      </c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</row>
    <row r="57" spans="1:40" customFormat="1" ht="30" customHeight="1">
      <c r="A57" s="158"/>
      <c r="B57" s="158"/>
      <c r="C57" s="11" t="s">
        <v>92</v>
      </c>
      <c r="D57" s="163" t="s">
        <v>204</v>
      </c>
      <c r="E57" s="166" t="s">
        <v>205</v>
      </c>
      <c r="F57" s="166" t="s">
        <v>216</v>
      </c>
      <c r="G57" s="163" t="s">
        <v>207</v>
      </c>
      <c r="H57" s="164">
        <v>1</v>
      </c>
      <c r="I57" s="165">
        <v>46.5</v>
      </c>
      <c r="J57" s="165">
        <f t="shared" si="25"/>
        <v>4.65E-2</v>
      </c>
      <c r="K57" s="18">
        <f t="shared" si="26"/>
        <v>1</v>
      </c>
      <c r="L57" s="18">
        <f t="shared" si="27"/>
        <v>0</v>
      </c>
      <c r="M57" s="18">
        <f t="shared" si="28"/>
        <v>0</v>
      </c>
      <c r="N57" s="18">
        <f>IF(K57&gt;1,VLOOKUP(K57,Anexo!$G$7:$H$19,2,FALSE),0)</f>
        <v>0</v>
      </c>
      <c r="O57" s="30">
        <f t="shared" si="29"/>
        <v>0.05</v>
      </c>
      <c r="P57" s="30">
        <v>0.05</v>
      </c>
      <c r="Q57" s="30">
        <f>SQRT((O57*O57)+(P57*P57))</f>
        <v>7.0710678118654766E-2</v>
      </c>
      <c r="R57" s="165">
        <f t="shared" si="31"/>
        <v>1.0811250000000004E-5</v>
      </c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</row>
    <row r="58" spans="1:40" customFormat="1" ht="15.75" customHeight="1">
      <c r="A58" s="158"/>
      <c r="B58" s="158"/>
      <c r="C58" s="116"/>
      <c r="D58" s="116"/>
      <c r="E58" s="116"/>
      <c r="F58" s="116"/>
      <c r="G58" s="116"/>
      <c r="H58" s="116"/>
      <c r="I58" s="173">
        <f>SUM(I46:I57)</f>
        <v>1141.9000000000001</v>
      </c>
      <c r="J58" s="173">
        <f>SUM(J46:J57)</f>
        <v>1.1418999999999999</v>
      </c>
      <c r="K58" s="158"/>
      <c r="L58" s="158"/>
      <c r="M58" s="158"/>
      <c r="N58" s="158"/>
      <c r="O58" s="158"/>
      <c r="P58" s="158"/>
      <c r="Q58" s="183">
        <f>IF(J58&gt;0,SQRT(SUM(R46:R57))/J58,0)</f>
        <v>2.8229458878542574E-2</v>
      </c>
      <c r="R58" s="187">
        <f>(J58*Q58)^2</f>
        <v>1.0391093500000004E-3</v>
      </c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</row>
    <row r="59" spans="1:40" s="116" customFormat="1" ht="15.75" customHeight="1"/>
    <row r="63" spans="1:40" ht="25.5">
      <c r="C63" s="2" t="s">
        <v>98</v>
      </c>
      <c r="D63" s="2" t="s">
        <v>99</v>
      </c>
      <c r="E63" s="2" t="s">
        <v>102</v>
      </c>
      <c r="F63" s="2" t="s">
        <v>38</v>
      </c>
      <c r="G63" s="2" t="s">
        <v>103</v>
      </c>
    </row>
    <row r="64" spans="1:40" ht="25.5">
      <c r="C64" s="2" t="s">
        <v>3</v>
      </c>
      <c r="D64" s="11" t="str">
        <f>C8</f>
        <v>Movilidad colaboradores</v>
      </c>
      <c r="E64" s="17">
        <f>U14</f>
        <v>7.3067193810077993E-2</v>
      </c>
      <c r="F64" s="30">
        <f>AB14</f>
        <v>8.2007402772248869E-2</v>
      </c>
      <c r="G64" s="18">
        <f>IFERROR((E64*F64)^2,0)</f>
        <v>3.5904672696556743E-5</v>
      </c>
    </row>
    <row r="65" spans="3:7" ht="51">
      <c r="C65" s="2" t="s">
        <v>42</v>
      </c>
      <c r="D65" s="11" t="str">
        <f>C43</f>
        <v>Movilidad colaboradores - Viajes corporativos</v>
      </c>
      <c r="E65" s="17">
        <f>J58</f>
        <v>1.1418999999999999</v>
      </c>
      <c r="F65" s="30">
        <f>Q58</f>
        <v>2.8229458878542574E-2</v>
      </c>
      <c r="G65" s="18">
        <f t="shared" ref="G65" si="32">IFERROR((E65*F65)^2,0)</f>
        <v>1.0391093500000004E-3</v>
      </c>
    </row>
    <row r="66" spans="3:7">
      <c r="C66" s="189" t="s">
        <v>107</v>
      </c>
      <c r="D66" s="190"/>
      <c r="E66" s="29">
        <f>SUM(E64:E65)</f>
        <v>1.2149671938100779</v>
      </c>
      <c r="F66" s="31">
        <f>IF(E66&gt;0,SQRT(G64+G65)/E66,0)</f>
        <v>2.6986248379358004E-2</v>
      </c>
    </row>
    <row r="67" spans="3:7" ht="32.25" customHeight="1"/>
    <row r="68" spans="3:7" ht="32.25" customHeight="1"/>
  </sheetData>
  <mergeCells count="12">
    <mergeCell ref="D2:L3"/>
    <mergeCell ref="C6:F6"/>
    <mergeCell ref="C8:F8"/>
    <mergeCell ref="C9:F9"/>
    <mergeCell ref="C16:F16"/>
    <mergeCell ref="AI31:AK31"/>
    <mergeCell ref="C17:J17"/>
    <mergeCell ref="C30:F30"/>
    <mergeCell ref="C31:I31"/>
    <mergeCell ref="C66:D66"/>
    <mergeCell ref="C43:G43"/>
    <mergeCell ref="C44:G44"/>
  </mergeCells>
  <dataValidations count="14">
    <dataValidation type="list" allowBlank="1" showInputMessage="1" showErrorMessage="1" sqref="D11:D13" xr:uid="{66D36293-DE69-4292-8BC5-B44F45F59578}">
      <formula1>ModTrans</formula1>
    </dataValidation>
    <dataValidation type="list" allowBlank="1" showInputMessage="1" showErrorMessage="1" sqref="E11:E13" xr:uid="{2C58F395-D4D0-4044-8B3D-5DEE7EA98AA6}">
      <formula1>INDIRECT(Seleccion)</formula1>
    </dataValidation>
    <dataValidation type="list" allowBlank="1" showInputMessage="1" showErrorMessage="1" sqref="F33:F41" xr:uid="{00892682-3FC5-4884-873F-347F02CB14BE}">
      <formula1>Modalidad</formula1>
    </dataValidation>
    <dataValidation type="list" allowBlank="1" showInputMessage="1" showErrorMessage="1" sqref="G33" xr:uid="{E4497FE7-52EF-4663-B657-392C5905070F}">
      <formula1>INDIRECT($F$33)</formula1>
    </dataValidation>
    <dataValidation type="list" allowBlank="1" showInputMessage="1" showErrorMessage="1" sqref="G34" xr:uid="{EDB20515-9AB8-42F3-B766-61E3D17B1A15}">
      <formula1>INDIRECT($F$34)</formula1>
    </dataValidation>
    <dataValidation type="list" allowBlank="1" showInputMessage="1" showErrorMessage="1" sqref="G35" xr:uid="{C87CA124-B621-4967-8D10-F61639885059}">
      <formula1>INDIRECT($F$35)</formula1>
    </dataValidation>
    <dataValidation type="list" allowBlank="1" showInputMessage="1" showErrorMessage="1" sqref="G36" xr:uid="{48A21871-9E0F-4087-9665-13BE571F81E1}">
      <formula1>INDIRECT($F$36)</formula1>
    </dataValidation>
    <dataValidation type="list" allowBlank="1" showInputMessage="1" showErrorMessage="1" sqref="G37" xr:uid="{D72E4728-15A4-466E-8304-09907500ADA9}">
      <formula1>INDIRECT($F$37)</formula1>
    </dataValidation>
    <dataValidation type="list" allowBlank="1" showInputMessage="1" showErrorMessage="1" sqref="G38" xr:uid="{CE56A66C-19F3-421D-A761-88BB1CBFD9C3}">
      <formula1>INDIRECT($F$38)</formula1>
    </dataValidation>
    <dataValidation type="list" allowBlank="1" showInputMessage="1" showErrorMessage="1" sqref="G39" xr:uid="{AA421F24-2505-4942-981F-5C267EE4CFB9}">
      <formula1>INDIRECT($F$39)</formula1>
    </dataValidation>
    <dataValidation type="list" allowBlank="1" showInputMessage="1" showErrorMessage="1" sqref="G40" xr:uid="{70992945-477B-4440-AEC2-7DA84C3E54AE}">
      <formula1>INDIRECT($F$40)</formula1>
    </dataValidation>
    <dataValidation type="list" allowBlank="1" showInputMessage="1" showErrorMessage="1" sqref="G41" xr:uid="{CCD2759E-D348-47FA-A91A-5897FD970D77}">
      <formula1>INDIRECT($F$41)</formula1>
    </dataValidation>
    <dataValidation type="list" allowBlank="1" showInputMessage="1" showErrorMessage="1" sqref="D19:D27" xr:uid="{6750EDBB-5338-4FA2-8415-1B4D2EE40A74}">
      <formula1>Tipo</formula1>
    </dataValidation>
    <dataValidation type="list" allowBlank="1" showInputMessage="1" showErrorMessage="1" sqref="D33:D41" xr:uid="{959A9FD7-7EF2-4EE8-965C-978DD9B7259A}">
      <formula1>Tipoactividad</formula1>
    </dataValidation>
  </dataValidation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C2B5C2-C804-4AAE-9830-EBF8F94EDA22}">
          <x14:formula1>
            <xm:f>Anexo!$C$8:$C$11</xm:f>
          </x14:formula1>
          <xm:sqref>I33:I41 G19:G27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1D5C-0963-443B-92DC-1C0D3310CA34}">
  <dimension ref="A1:AN15"/>
  <sheetViews>
    <sheetView topLeftCell="W8" workbookViewId="0">
      <selection activeCell="Y16" sqref="Y16"/>
    </sheetView>
  </sheetViews>
  <sheetFormatPr defaultColWidth="11.42578125" defaultRowHeight="15"/>
  <cols>
    <col min="1" max="1" width="2.140625" style="116" customWidth="1"/>
    <col min="2" max="2" width="5" style="116" customWidth="1"/>
    <col min="3" max="3" width="14.42578125" style="116" customWidth="1"/>
    <col min="4" max="4" width="21.140625" style="116" customWidth="1"/>
    <col min="5" max="5" width="33.42578125" style="116" customWidth="1"/>
    <col min="6" max="6" width="14.85546875" style="116" customWidth="1"/>
    <col min="7" max="16384" width="11.42578125" style="116"/>
  </cols>
  <sheetData>
    <row r="1" spans="1:4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s="117" customFormat="1">
      <c r="A2" s="43"/>
      <c r="B2" s="43"/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s="117" customFormat="1">
      <c r="A3" s="43"/>
      <c r="B3" s="43"/>
      <c r="C3" s="16"/>
      <c r="D3" s="194"/>
      <c r="E3" s="194"/>
      <c r="F3" s="194"/>
      <c r="G3" s="194"/>
      <c r="H3" s="194"/>
      <c r="I3" s="194"/>
      <c r="J3" s="194"/>
      <c r="K3" s="194"/>
      <c r="L3" s="19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>
      <c r="A6" s="16"/>
      <c r="B6" s="2">
        <v>5</v>
      </c>
      <c r="C6" s="191" t="s">
        <v>219</v>
      </c>
      <c r="D6" s="192"/>
      <c r="E6" s="192"/>
      <c r="F6" s="193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>
      <c r="A7" s="16"/>
      <c r="B7" s="16"/>
      <c r="C7" s="196" t="s">
        <v>220</v>
      </c>
      <c r="D7" s="196"/>
      <c r="E7" s="196"/>
      <c r="F7" s="19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58.5" customHeight="1">
      <c r="A8" s="16"/>
      <c r="B8" s="16"/>
      <c r="C8" s="6" t="s">
        <v>6</v>
      </c>
      <c r="D8" s="7" t="s">
        <v>221</v>
      </c>
      <c r="E8" s="7" t="s">
        <v>222</v>
      </c>
      <c r="F8" s="7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5" t="s">
        <v>223</v>
      </c>
      <c r="W8" s="5" t="s">
        <v>224</v>
      </c>
      <c r="X8" s="5" t="s">
        <v>225</v>
      </c>
      <c r="Y8" s="5" t="s">
        <v>63</v>
      </c>
      <c r="Z8" s="5" t="s">
        <v>31</v>
      </c>
      <c r="AA8" s="5" t="s">
        <v>32</v>
      </c>
      <c r="AB8" s="5" t="s">
        <v>33</v>
      </c>
      <c r="AC8" s="5" t="s">
        <v>34</v>
      </c>
      <c r="AD8" s="5" t="s">
        <v>35</v>
      </c>
      <c r="AE8" s="5" t="s">
        <v>36</v>
      </c>
      <c r="AF8" s="5" t="s">
        <v>37</v>
      </c>
      <c r="AG8" s="5" t="s">
        <v>38</v>
      </c>
      <c r="AH8" s="5" t="s">
        <v>39</v>
      </c>
      <c r="AI8" s="5" t="s">
        <v>40</v>
      </c>
      <c r="AJ8" s="5" t="s">
        <v>41</v>
      </c>
      <c r="AK8" s="16"/>
      <c r="AL8" s="16"/>
      <c r="AM8" s="16"/>
      <c r="AN8" s="16"/>
    </row>
    <row r="9" spans="1:40" ht="21">
      <c r="A9" s="16"/>
      <c r="B9" s="16"/>
      <c r="C9" s="47" t="s">
        <v>226</v>
      </c>
      <c r="D9" s="11" t="s">
        <v>227</v>
      </c>
      <c r="E9" s="11" t="s">
        <v>228</v>
      </c>
      <c r="F9" s="11" t="s">
        <v>229</v>
      </c>
      <c r="G9" s="17"/>
      <c r="H9" s="17"/>
      <c r="I9" s="17"/>
      <c r="J9" s="17"/>
      <c r="K9" s="17">
        <v>80</v>
      </c>
      <c r="L9" s="17">
        <f>8+1+7</f>
        <v>16</v>
      </c>
      <c r="M9" s="17">
        <v>4</v>
      </c>
      <c r="N9" s="17">
        <v>8.5</v>
      </c>
      <c r="O9" s="17">
        <v>49</v>
      </c>
      <c r="P9" s="17">
        <v>18.5</v>
      </c>
      <c r="Q9" s="17"/>
      <c r="R9" s="17">
        <v>13</v>
      </c>
      <c r="S9" s="18">
        <f>SUM(G9:R9)</f>
        <v>189</v>
      </c>
      <c r="T9" s="40">
        <f>IFERROR(VLOOKUP(F9,Anexo!$C$8:$D$11,2,FALSE),"")</f>
        <v>1E-3</v>
      </c>
      <c r="U9" s="18">
        <f>IFERROR(S9*T9,"")</f>
        <v>0.189</v>
      </c>
      <c r="V9" s="18">
        <f>IFERROR(VLOOKUP(E9,FE!$C$99:$G$126,3,FALSE),"")</f>
        <v>0</v>
      </c>
      <c r="W9" s="127">
        <f>IFERROR(VLOOKUP(E9,FE!$C$99:$G$126,4,FALSE),"")</f>
        <v>5.5E-2</v>
      </c>
      <c r="X9" s="124">
        <f>IFERROR(VLOOKUP(E9,FE!$C$99:$G$126,5,FALSE),"")</f>
        <v>0</v>
      </c>
      <c r="Y9" s="18">
        <f t="shared" ref="Y9:Y12" si="0">IFERROR(U9*V9,"")</f>
        <v>0</v>
      </c>
      <c r="Z9" s="18">
        <f t="shared" ref="Z9:Z12" si="1">IFERROR(U9*W9,"")</f>
        <v>1.0395E-2</v>
      </c>
      <c r="AA9" s="18">
        <f t="shared" ref="AA9:AA12" si="2">IFERROR(U9*X9,"")</f>
        <v>0</v>
      </c>
      <c r="AB9" s="18">
        <f>IFERROR(Y9+(Z9*PCG!$D$10)+(AA9*PCG!$D$11),"")</f>
        <v>0.29002049999999996</v>
      </c>
      <c r="AC9" s="18">
        <f>COUNTIF(G9:R9,"&gt;0")</f>
        <v>7</v>
      </c>
      <c r="AD9" s="18">
        <f>IF(AC9&gt;1,AVERAGE(G9:R9),0)</f>
        <v>27</v>
      </c>
      <c r="AE9" s="18">
        <f>IF(AC9&gt;1,STDEV(G9:R9),0)</f>
        <v>27.548442182211804</v>
      </c>
      <c r="AF9" s="18">
        <f>IF(AC9&gt;1,VLOOKUP(AC9,Anexo!$G$7:$H$19,2,FALSE),0)</f>
        <v>2.4500000000000002</v>
      </c>
      <c r="AG9" s="30">
        <f>IF(AC9&gt;1,1-((AD9-((AE9*AF9)/(SQRT(AC9))))/AD9),AH9)</f>
        <v>0.9448227576844771</v>
      </c>
      <c r="AH9" s="30">
        <v>0.1</v>
      </c>
      <c r="AI9" s="30">
        <f>SQRT((AG9*AG9)+(AH9*AH9))</f>
        <v>0.95010001759735807</v>
      </c>
      <c r="AJ9" s="18">
        <f>IFERROR((AB9*AI9)^2,0)</f>
        <v>7.5926966017149822E-2</v>
      </c>
      <c r="AK9" s="16"/>
      <c r="AL9" s="16"/>
      <c r="AM9" s="16"/>
      <c r="AN9" s="16"/>
    </row>
    <row r="10" spans="1:40" ht="21">
      <c r="A10" s="16"/>
      <c r="B10" s="16"/>
      <c r="C10" s="47" t="s">
        <v>226</v>
      </c>
      <c r="D10" s="11" t="s">
        <v>230</v>
      </c>
      <c r="E10" s="11" t="s">
        <v>231</v>
      </c>
      <c r="F10" s="11" t="s">
        <v>229</v>
      </c>
      <c r="G10" s="17"/>
      <c r="H10" s="17"/>
      <c r="I10" s="17"/>
      <c r="J10" s="17"/>
      <c r="K10" s="17">
        <v>2</v>
      </c>
      <c r="L10" s="17"/>
      <c r="M10" s="17"/>
      <c r="N10" s="17">
        <v>0.5</v>
      </c>
      <c r="O10" s="17">
        <v>4.5</v>
      </c>
      <c r="P10" s="17">
        <v>1</v>
      </c>
      <c r="Q10" s="17"/>
      <c r="R10" s="17">
        <v>1</v>
      </c>
      <c r="S10" s="18">
        <f t="shared" ref="S10:S12" si="3">SUM(G10:R10)</f>
        <v>9</v>
      </c>
      <c r="T10" s="18">
        <f>IFERROR(VLOOKUP(F10,Anexo!$C$8:$D$11,2,FALSE),"")</f>
        <v>1E-3</v>
      </c>
      <c r="U10" s="18">
        <f>IFERROR(S10*T10,"")</f>
        <v>9.0000000000000011E-3</v>
      </c>
      <c r="V10" s="127">
        <f>IFERROR(VLOOKUP(E10,FE!$C$99:$G$126,3,FALSE),"")</f>
        <v>0.56999999999999995</v>
      </c>
      <c r="W10" s="127">
        <f>IFERROR(VLOOKUP(E10,FE!$C$99:$G$126,4,FALSE),"")</f>
        <v>0</v>
      </c>
      <c r="X10" s="126">
        <f>IFERROR(VLOOKUP(E10,FE!$C$99:$G$126,5,FALSE),"")</f>
        <v>0</v>
      </c>
      <c r="Y10" s="18">
        <f t="shared" si="0"/>
        <v>5.13E-3</v>
      </c>
      <c r="Z10" s="18">
        <f t="shared" si="1"/>
        <v>0</v>
      </c>
      <c r="AA10" s="18">
        <f t="shared" si="2"/>
        <v>0</v>
      </c>
      <c r="AB10" s="18">
        <f>IFERROR(Y10+(Z10*PCG!$D$10)+(AA10*PCG!$D$11),"")</f>
        <v>5.13E-3</v>
      </c>
      <c r="AC10" s="18">
        <f>COUNTIF(G10:R10,"&gt;0")</f>
        <v>5</v>
      </c>
      <c r="AD10" s="18">
        <f>IF(AC10&gt;1,AVERAGE(G10:R10),0)</f>
        <v>1.8</v>
      </c>
      <c r="AE10" s="18">
        <f>IF(AC10&gt;1,STDEV(G10:R10),0)</f>
        <v>1.6046806535881213</v>
      </c>
      <c r="AF10" s="18">
        <f>IF(AC10&gt;1,VLOOKUP(AC10,Anexo!$G$7:$H$19,2,FALSE),0)</f>
        <v>2.78</v>
      </c>
      <c r="AG10" s="30">
        <f t="shared" ref="AG10:AG12" si="4">IF(AC10&gt;1,1-((AD10-((AE10*AF10)/(SQRT(AC10))))/AD10),AH10)</f>
        <v>1.1083473961792321</v>
      </c>
      <c r="AH10" s="30">
        <v>0.1</v>
      </c>
      <c r="AI10" s="30">
        <f t="shared" ref="AI10:AI11" si="5">SQRT((AG10*AG10)+(AH10*AH10))</f>
        <v>1.1128494734766619</v>
      </c>
      <c r="AJ10" s="18">
        <f t="shared" ref="AJ10:AJ11" si="6">IFERROR((AB10*AI10)^2,0)</f>
        <v>3.2591742434999994E-5</v>
      </c>
      <c r="AK10" s="16"/>
      <c r="AL10" s="16"/>
      <c r="AM10" s="16"/>
      <c r="AN10" s="16"/>
    </row>
    <row r="11" spans="1:40" ht="16.5" customHeight="1">
      <c r="A11" s="16"/>
      <c r="B11" s="16"/>
      <c r="C11" s="47" t="s">
        <v>226</v>
      </c>
      <c r="D11" s="11" t="s">
        <v>230</v>
      </c>
      <c r="E11" s="11" t="s">
        <v>231</v>
      </c>
      <c r="F11" s="11" t="s">
        <v>229</v>
      </c>
      <c r="G11" s="17"/>
      <c r="H11" s="17"/>
      <c r="I11" s="17"/>
      <c r="J11" s="17"/>
      <c r="K11" s="17"/>
      <c r="L11" s="17"/>
      <c r="M11" s="17">
        <v>10</v>
      </c>
      <c r="N11" s="17"/>
      <c r="O11" s="17"/>
      <c r="P11" s="17"/>
      <c r="Q11" s="17"/>
      <c r="R11" s="17"/>
      <c r="S11" s="18">
        <f t="shared" si="3"/>
        <v>10</v>
      </c>
      <c r="T11" s="18">
        <f>IFERROR(VLOOKUP(F11,Anexo!$C$8:$D$11,2,FALSE),"")</f>
        <v>1E-3</v>
      </c>
      <c r="U11" s="18">
        <f>IFERROR(S11*T11,"")</f>
        <v>0.01</v>
      </c>
      <c r="V11" s="127">
        <f>IFERROR(VLOOKUP(E11,FE!$C$99:$G$126,3,FALSE),"")</f>
        <v>0.56999999999999995</v>
      </c>
      <c r="W11" s="18">
        <f>IFERROR(VLOOKUP(E11,FE!$C$99:$G$126,4,FALSE),"")</f>
        <v>0</v>
      </c>
      <c r="X11" s="126">
        <f>IFERROR(VLOOKUP(E11,FE!$C$99:$G$126,5,FALSE),"")</f>
        <v>0</v>
      </c>
      <c r="Y11" s="18">
        <f t="shared" si="0"/>
        <v>5.6999999999999993E-3</v>
      </c>
      <c r="Z11" s="18">
        <f t="shared" si="1"/>
        <v>0</v>
      </c>
      <c r="AA11" s="18">
        <f t="shared" si="2"/>
        <v>0</v>
      </c>
      <c r="AB11" s="18">
        <f>IFERROR(Y11+(Z11*PCG!$D$10)+(AA11*PCG!$D$11),"")</f>
        <v>5.6999999999999993E-3</v>
      </c>
      <c r="AC11" s="18">
        <f>COUNTIF(G11:R11,"&gt;0")</f>
        <v>1</v>
      </c>
      <c r="AD11" s="18">
        <f>IF(AC11&gt;1,AVERAGE(G11:R11),0)</f>
        <v>0</v>
      </c>
      <c r="AE11" s="18">
        <f>IF(AC11&gt;1,STDEV(G11:R11),0)</f>
        <v>0</v>
      </c>
      <c r="AF11" s="18">
        <f>IF(AC11&gt;1,VLOOKUP(AC11,Anexo!$G$7:$H$19,2,FALSE),0)</f>
        <v>0</v>
      </c>
      <c r="AG11" s="30">
        <f t="shared" si="4"/>
        <v>0.1</v>
      </c>
      <c r="AH11" s="30">
        <v>0.1</v>
      </c>
      <c r="AI11" s="30">
        <f t="shared" si="5"/>
        <v>0.14142135623730953</v>
      </c>
      <c r="AJ11" s="18">
        <f t="shared" si="6"/>
        <v>6.4980000000000001E-7</v>
      </c>
      <c r="AK11" s="16"/>
      <c r="AL11" s="16"/>
      <c r="AM11" s="16"/>
      <c r="AN11" s="16"/>
    </row>
    <row r="12" spans="1:40" ht="25.5" customHeight="1">
      <c r="A12" s="16"/>
      <c r="B12" s="16"/>
      <c r="C12" s="47" t="s">
        <v>226</v>
      </c>
      <c r="D12" s="11" t="s">
        <v>230</v>
      </c>
      <c r="E12" s="11" t="s">
        <v>231</v>
      </c>
      <c r="F12" s="11" t="s">
        <v>229</v>
      </c>
      <c r="G12" s="17"/>
      <c r="H12" s="17"/>
      <c r="I12" s="17"/>
      <c r="J12" s="17"/>
      <c r="K12" s="17"/>
      <c r="L12" s="17"/>
      <c r="M12" s="17"/>
      <c r="N12" s="17">
        <v>7</v>
      </c>
      <c r="O12" s="17">
        <v>21</v>
      </c>
      <c r="P12" s="17">
        <v>11</v>
      </c>
      <c r="Q12" s="17"/>
      <c r="R12" s="17"/>
      <c r="S12" s="18">
        <f t="shared" si="3"/>
        <v>39</v>
      </c>
      <c r="T12" s="18">
        <f>IFERROR(VLOOKUP(F12,Anexo!$C$8:$D$11,2,FALSE),"")</f>
        <v>1E-3</v>
      </c>
      <c r="U12" s="18">
        <f>IFERROR(S12*T12,"")</f>
        <v>3.9E-2</v>
      </c>
      <c r="V12" s="127">
        <f>IFERROR(VLOOKUP(E12,FE!$C$99:$G$126,3,FALSE),"")</f>
        <v>0.56999999999999995</v>
      </c>
      <c r="W12" s="18">
        <f>IFERROR(VLOOKUP(E12,FE!$C$99:$G$126,4,FALSE),"")</f>
        <v>0</v>
      </c>
      <c r="X12" s="126">
        <f>IFERROR(VLOOKUP(E12,FE!$C$99:$G$126,5,FALSE),"")</f>
        <v>0</v>
      </c>
      <c r="Y12" s="18">
        <f t="shared" si="0"/>
        <v>2.223E-2</v>
      </c>
      <c r="Z12" s="18">
        <f t="shared" si="1"/>
        <v>0</v>
      </c>
      <c r="AA12" s="18">
        <f t="shared" si="2"/>
        <v>0</v>
      </c>
      <c r="AB12" s="18">
        <f>IFERROR(Y12+(Z12*PCG!$D$10)+(AA12*PCG!$D$11),"")</f>
        <v>2.223E-2</v>
      </c>
      <c r="AC12" s="18">
        <f>COUNTIF(G12:R12,"&gt;0")</f>
        <v>3</v>
      </c>
      <c r="AD12" s="18">
        <f>IF(AC12&gt;1,AVERAGE(G12:R12),0)</f>
        <v>13</v>
      </c>
      <c r="AE12" s="18">
        <f>IF(AC12&gt;1,STDEV(G12:R12),0)</f>
        <v>7.2111025509279782</v>
      </c>
      <c r="AF12" s="18">
        <f>IF(AC12&gt;1,VLOOKUP(AC12,Anexo!$G$7:$H$19,2,FALSE),0)</f>
        <v>4.3</v>
      </c>
      <c r="AG12" s="30">
        <f t="shared" si="4"/>
        <v>1.3771021227237494</v>
      </c>
      <c r="AH12" s="30">
        <v>0.1</v>
      </c>
      <c r="AI12" s="30">
        <f t="shared" ref="AI12" si="7">SQRT((AG12*AG12)+(AH12*AH12))</f>
        <v>1.3807281616633511</v>
      </c>
      <c r="AJ12" s="18">
        <f t="shared" ref="AJ12" si="8">IFERROR((AB12*AI12)^2,0)</f>
        <v>9.4209628500000028E-4</v>
      </c>
      <c r="AK12" s="16"/>
      <c r="AL12" s="16"/>
      <c r="AM12" s="16"/>
      <c r="AN12" s="16"/>
    </row>
    <row r="13" spans="1:40">
      <c r="A13" s="16"/>
      <c r="B13" s="16"/>
      <c r="C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>
        <f>SUM(S9:S12)</f>
        <v>247</v>
      </c>
      <c r="T13" s="19"/>
      <c r="U13" s="29">
        <f>SUM(U9:U12)</f>
        <v>0.24700000000000003</v>
      </c>
      <c r="V13" s="19"/>
      <c r="W13" s="19"/>
      <c r="X13" s="19"/>
      <c r="Y13" s="128">
        <f>SUM(Y9:Y12)</f>
        <v>3.3059999999999999E-2</v>
      </c>
      <c r="Z13" s="29">
        <f>SUM(Z9:Z12)</f>
        <v>1.0395E-2</v>
      </c>
      <c r="AA13" s="29">
        <f>SUM(AA9:AA12)</f>
        <v>0</v>
      </c>
      <c r="AB13" s="29">
        <f>SUM(AB9:AB12)</f>
        <v>0.32308049999999999</v>
      </c>
      <c r="AC13" s="16"/>
      <c r="AD13" s="16"/>
      <c r="AE13" s="16"/>
      <c r="AF13" s="16"/>
      <c r="AG13" s="16"/>
      <c r="AH13" s="16"/>
      <c r="AI13" s="31">
        <f>IF(AB13&gt;0,SQRT(SUM(AJ9:AJ12))/AB13,0)</f>
        <v>0.85833916433878743</v>
      </c>
      <c r="AJ13" s="29">
        <f>(AB13*AI13)^2</f>
        <v>7.6902303844584838E-2</v>
      </c>
      <c r="AK13" s="16"/>
      <c r="AL13" s="16"/>
      <c r="AM13" s="16"/>
      <c r="AN13" s="16"/>
    </row>
    <row r="14" spans="1:40">
      <c r="A14" s="16"/>
      <c r="B14" s="16"/>
      <c r="C14" s="16"/>
      <c r="D14" s="16"/>
      <c r="E14" s="16"/>
      <c r="F14" s="1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>
      <c r="A15" s="16"/>
      <c r="B15" s="118" t="s">
        <v>42</v>
      </c>
      <c r="C15" s="213" t="s">
        <v>43</v>
      </c>
      <c r="D15" s="213"/>
      <c r="E15" s="213"/>
      <c r="F15" s="21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</sheetData>
  <mergeCells count="4">
    <mergeCell ref="D2:L3"/>
    <mergeCell ref="C6:F6"/>
    <mergeCell ref="C7:F7"/>
    <mergeCell ref="C15:F15"/>
  </mergeCells>
  <dataValidations count="4">
    <dataValidation type="list" showInputMessage="1" showErrorMessage="1" sqref="D9:D12" xr:uid="{51C07C14-F93E-4FF1-AC81-EE3C9F5A21DA}">
      <formula1>Tratamiento</formula1>
    </dataValidation>
    <dataValidation type="list" allowBlank="1" showInputMessage="1" showErrorMessage="1" sqref="E9" xr:uid="{CDEADB5A-206B-42D0-9A1B-8F808EBCC923}">
      <formula1>INDIRECT($D$9)</formula1>
    </dataValidation>
    <dataValidation type="list" allowBlank="1" showInputMessage="1" showErrorMessage="1" sqref="E10" xr:uid="{0FE808B7-3BF2-4E0B-AE0F-14CFF21DAF42}">
      <formula1>INDIRECT($D$10)</formula1>
    </dataValidation>
    <dataValidation type="list" allowBlank="1" showInputMessage="1" showErrorMessage="1" sqref="E11:E12" xr:uid="{0E480C62-2C35-4BC4-A8AA-728BFB149A9D}">
      <formula1>INDIRECT($D$11)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9C4928-7B58-4106-B14F-7DBB1D929FD8}">
          <x14:formula1>
            <xm:f>Anexo!$C$8:$C$11</xm:f>
          </x14:formula1>
          <xm:sqref>F9:F12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22C33-9DE2-47AC-B021-BD1AA2E19B3C}">
  <dimension ref="B2:M40"/>
  <sheetViews>
    <sheetView tabSelected="1" topLeftCell="E6" zoomScaleNormal="100" workbookViewId="0">
      <selection activeCell="I22" sqref="I22"/>
    </sheetView>
  </sheetViews>
  <sheetFormatPr defaultColWidth="11.42578125" defaultRowHeight="12.75"/>
  <cols>
    <col min="1" max="1" width="1.28515625" style="16" customWidth="1"/>
    <col min="2" max="2" width="6" style="16" customWidth="1"/>
    <col min="3" max="3" width="24.28515625" style="16" bestFit="1" customWidth="1"/>
    <col min="4" max="4" width="11.5703125" style="16" customWidth="1"/>
    <col min="5" max="5" width="10.42578125" style="16" customWidth="1"/>
    <col min="6" max="6" width="10.7109375" style="16" customWidth="1"/>
    <col min="7" max="7" width="10.42578125" style="16" customWidth="1"/>
    <col min="8" max="8" width="7.7109375" style="16" customWidth="1"/>
    <col min="9" max="9" width="9.85546875" style="16" customWidth="1"/>
    <col min="10" max="10" width="12.5703125" style="16" customWidth="1"/>
    <col min="11" max="11" width="15.5703125" style="16" customWidth="1"/>
    <col min="12" max="12" width="12.5703125" style="16" customWidth="1"/>
    <col min="13" max="13" width="20.28515625" style="16" customWidth="1"/>
    <col min="14" max="16" width="12.5703125" style="16" customWidth="1"/>
    <col min="17" max="17" width="15.140625" style="16" bestFit="1" customWidth="1"/>
    <col min="18" max="18" width="12.5703125" style="16" customWidth="1"/>
    <col min="19" max="19" width="14.5703125" style="16" bestFit="1" customWidth="1"/>
    <col min="20" max="20" width="13.28515625" style="16" customWidth="1"/>
    <col min="21" max="21" width="14.140625" style="16" customWidth="1"/>
    <col min="22" max="23" width="11.42578125" style="16"/>
    <col min="24" max="24" width="12.42578125" style="16" bestFit="1" customWidth="1"/>
    <col min="25" max="25" width="11.42578125" style="16"/>
    <col min="26" max="26" width="13" style="16" bestFit="1" customWidth="1"/>
    <col min="27" max="27" width="13.85546875" style="16" bestFit="1" customWidth="1"/>
    <col min="28" max="28" width="11.42578125" style="16"/>
    <col min="29" max="29" width="12.28515625" style="16" customWidth="1"/>
    <col min="30" max="36" width="17.140625" style="16" customWidth="1"/>
    <col min="37" max="16384" width="11.42578125" style="16"/>
  </cols>
  <sheetData>
    <row r="2" spans="2:13" s="43" customFormat="1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2:13" s="43" customFormat="1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6" spans="2:13" ht="12.75" customHeight="1">
      <c r="B6" s="217" t="s">
        <v>232</v>
      </c>
      <c r="C6" s="217"/>
      <c r="D6" s="217"/>
      <c r="E6" s="217"/>
      <c r="F6" s="218"/>
    </row>
    <row r="8" spans="2:13" ht="25.5">
      <c r="B8" s="2" t="s">
        <v>98</v>
      </c>
      <c r="C8" s="2" t="s">
        <v>99</v>
      </c>
      <c r="D8" s="2" t="s">
        <v>91</v>
      </c>
      <c r="E8" s="2" t="s">
        <v>100</v>
      </c>
      <c r="F8" s="2" t="s">
        <v>101</v>
      </c>
      <c r="G8" s="2" t="s">
        <v>132</v>
      </c>
      <c r="H8" s="2" t="s">
        <v>133</v>
      </c>
      <c r="I8" s="2" t="s">
        <v>102</v>
      </c>
      <c r="J8" s="2" t="s">
        <v>233</v>
      </c>
      <c r="K8" s="2" t="s">
        <v>234</v>
      </c>
      <c r="L8" s="2" t="s">
        <v>38</v>
      </c>
      <c r="M8" s="2" t="s">
        <v>103</v>
      </c>
    </row>
    <row r="9" spans="2:13">
      <c r="B9" s="2" t="s">
        <v>1</v>
      </c>
      <c r="C9" s="11" t="s">
        <v>104</v>
      </c>
      <c r="D9" s="17">
        <f>+ED_Combustibles!E117</f>
        <v>11.403785329500694</v>
      </c>
      <c r="E9" s="177">
        <f>+ED_Combustibles!F117</f>
        <v>2.8735940223201852E-5</v>
      </c>
      <c r="F9" s="177">
        <f>+ED_Combustibles!G117</f>
        <v>7.0757616083526695E-6</v>
      </c>
      <c r="G9" s="17">
        <v>0</v>
      </c>
      <c r="H9" s="17">
        <v>0</v>
      </c>
      <c r="I9" s="17">
        <f>+ED_Combustibles!H117</f>
        <v>11.406568478061281</v>
      </c>
      <c r="J9" s="65">
        <f>+I9/$I$13</f>
        <v>0.16528409656158782</v>
      </c>
      <c r="K9" s="65">
        <f>+I9/$I$18</f>
        <v>7.6097037869352499E-2</v>
      </c>
      <c r="L9" s="30">
        <f>+ED_Combustibles!I117</f>
        <v>0.18502275455606645</v>
      </c>
      <c r="M9" s="18">
        <f t="shared" ref="M9:M16" si="0">IFERROR((I9*L9)^2,0)</f>
        <v>4.4541035430976423</v>
      </c>
    </row>
    <row r="10" spans="2:13">
      <c r="B10" s="2" t="s">
        <v>83</v>
      </c>
      <c r="C10" s="11" t="s">
        <v>106</v>
      </c>
      <c r="D10" s="17">
        <f>+ED_Combustibles!E119</f>
        <v>6.0375995841451618E-2</v>
      </c>
      <c r="E10" s="17">
        <f>+ED_Combustibles!F119</f>
        <v>0</v>
      </c>
      <c r="F10" s="17">
        <f>+ED_Combustibles!G119</f>
        <v>0</v>
      </c>
      <c r="G10" s="17">
        <v>0</v>
      </c>
      <c r="H10" s="17">
        <v>0</v>
      </c>
      <c r="I10" s="17">
        <f>+ED_Combustibles!H119</f>
        <v>6.0375995841451618E-2</v>
      </c>
      <c r="J10" s="65">
        <f>+I10/$I$13</f>
        <v>8.7486363193750181E-4</v>
      </c>
      <c r="K10" s="65">
        <f>+I10/$I$18</f>
        <v>4.0278848549267699E-4</v>
      </c>
      <c r="L10" s="30">
        <f>+ED_Combustibles!I119</f>
        <v>0.23536155755269225</v>
      </c>
      <c r="M10" s="18">
        <f t="shared" si="0"/>
        <v>2.0192945493300828E-4</v>
      </c>
    </row>
    <row r="11" spans="2:13">
      <c r="B11" s="2" t="s">
        <v>109</v>
      </c>
      <c r="C11" s="11" t="s">
        <v>110</v>
      </c>
      <c r="D11" s="17">
        <f ca="1">+'ED_Extintores y Refrigerantes'!E46</f>
        <v>0.18143680000000001</v>
      </c>
      <c r="E11" s="17">
        <v>0</v>
      </c>
      <c r="F11" s="17">
        <v>0</v>
      </c>
      <c r="G11" s="17">
        <f ca="1">+'ED_Extintores y Refrigerantes'!F46</f>
        <v>0</v>
      </c>
      <c r="H11" s="17">
        <v>0</v>
      </c>
      <c r="I11" s="17">
        <f>+'ED_Extintores y Refrigerantes'!H46</f>
        <v>0.18143680000000001</v>
      </c>
      <c r="J11" s="65">
        <f>+I11/$I$13</f>
        <v>2.6290656676198308E-3</v>
      </c>
      <c r="K11" s="65">
        <f>+I11/$I$18</f>
        <v>1.210425647910616E-3</v>
      </c>
      <c r="L11" s="30">
        <f>+'ED_Extintores y Refrigerantes'!I46</f>
        <v>0.625</v>
      </c>
      <c r="M11" s="18">
        <f t="shared" si="0"/>
        <v>1.2859106404E-2</v>
      </c>
    </row>
    <row r="12" spans="2:13">
      <c r="B12" s="2" t="s">
        <v>118</v>
      </c>
      <c r="C12" s="11" t="s">
        <v>134</v>
      </c>
      <c r="D12" s="17">
        <f>+'ED_Extintores y Refrigerantes'!E47</f>
        <v>0</v>
      </c>
      <c r="E12" s="17">
        <v>0</v>
      </c>
      <c r="F12" s="17">
        <v>0</v>
      </c>
      <c r="G12" s="17">
        <f ca="1">+'ED_Extintores y Refrigerantes'!F47</f>
        <v>2.721552E-2</v>
      </c>
      <c r="H12" s="17">
        <f ca="1">+'ED_Extintores y Refrigerantes'!G47</f>
        <v>0</v>
      </c>
      <c r="I12" s="17">
        <f>+'ED_Extintores y Refrigerantes'!H47</f>
        <v>57.363512280000002</v>
      </c>
      <c r="J12" s="65">
        <f>+I12/$I$13</f>
        <v>0.83121197413885484</v>
      </c>
      <c r="K12" s="65">
        <f>+I12/$I$18</f>
        <v>0.38269119890754016</v>
      </c>
      <c r="L12" s="30">
        <f>+'ED_Extintores y Refrigerantes'!I47</f>
        <v>0.50122694265200729</v>
      </c>
      <c r="M12" s="18">
        <f t="shared" si="0"/>
        <v>826.68543266393374</v>
      </c>
    </row>
    <row r="13" spans="2:13">
      <c r="B13" s="189" t="s">
        <v>235</v>
      </c>
      <c r="C13" s="190"/>
      <c r="D13" s="29">
        <f ca="1">SUM(D9:D12)</f>
        <v>11.645598125342147</v>
      </c>
      <c r="E13" s="140">
        <f t="shared" ref="E13:I13" si="1">SUM(E9:E12)</f>
        <v>2.8735940223201852E-5</v>
      </c>
      <c r="F13" s="140">
        <f t="shared" si="1"/>
        <v>7.0757616083526695E-6</v>
      </c>
      <c r="G13" s="29">
        <f t="shared" ca="1" si="1"/>
        <v>2.721552E-2</v>
      </c>
      <c r="H13" s="29">
        <f t="shared" ca="1" si="1"/>
        <v>0</v>
      </c>
      <c r="I13" s="29">
        <f t="shared" si="1"/>
        <v>69.011893553902738</v>
      </c>
      <c r="J13" s="66">
        <f>+I13/I13</f>
        <v>1</v>
      </c>
      <c r="K13" s="66">
        <f>+I13/$I$18</f>
        <v>0.46040145091029594</v>
      </c>
      <c r="L13" s="31">
        <f>IF(I13&gt;0,SQRT(M9+M10+M11+M12)/I13,0)</f>
        <v>0.41774998155409776</v>
      </c>
      <c r="M13" s="18">
        <f t="shared" si="0"/>
        <v>831.15259724289035</v>
      </c>
    </row>
    <row r="14" spans="2:13">
      <c r="B14" s="2">
        <v>2</v>
      </c>
      <c r="C14" s="11" t="s">
        <v>236</v>
      </c>
      <c r="D14" s="17">
        <f>+'EI_Energía electrica'!S13</f>
        <v>79.345098000000007</v>
      </c>
      <c r="E14" s="17">
        <v>0</v>
      </c>
      <c r="F14" s="17">
        <v>0</v>
      </c>
      <c r="G14" s="17">
        <v>0</v>
      </c>
      <c r="H14" s="17">
        <v>0</v>
      </c>
      <c r="I14" s="17">
        <f>+'EI_Energía electrica'!S13</f>
        <v>79.345098000000007</v>
      </c>
      <c r="J14" s="65">
        <f>+I14/$I$17</f>
        <v>0.98098432398224844</v>
      </c>
      <c r="K14" s="65">
        <f>+I14/$I$18</f>
        <v>0.5293377179005655</v>
      </c>
      <c r="L14" s="30">
        <f>+'EI_Energía electrica'!Z13</f>
        <v>0.15721620728289901</v>
      </c>
      <c r="M14" s="18">
        <f t="shared" si="0"/>
        <v>155.60904302427355</v>
      </c>
    </row>
    <row r="15" spans="2:13">
      <c r="B15" s="2">
        <v>3</v>
      </c>
      <c r="C15" s="11" t="s">
        <v>173</v>
      </c>
      <c r="D15" s="17">
        <f>'EI_Transporte tercerizado'!U14+'EI_Transporte tercerizado'!J58</f>
        <v>1.2149671938100779</v>
      </c>
      <c r="E15" s="17">
        <v>0</v>
      </c>
      <c r="F15" s="17">
        <v>0</v>
      </c>
      <c r="G15" s="17">
        <v>0</v>
      </c>
      <c r="H15" s="17">
        <v>0</v>
      </c>
      <c r="I15" s="17">
        <f>'EI_Transporte tercerizado'!E66</f>
        <v>1.2149671938100779</v>
      </c>
      <c r="J15" s="65">
        <f>+I15/$I$17</f>
        <v>1.5021265350007995E-2</v>
      </c>
      <c r="K15" s="65">
        <f>+I15/$I$18</f>
        <v>8.1054529883557609E-3</v>
      </c>
      <c r="L15" s="30">
        <f>'EI_Transporte tercerizado'!F66</f>
        <v>2.6986248379358004E-2</v>
      </c>
      <c r="M15" s="40">
        <f t="shared" si="0"/>
        <v>1.0750140226965569E-3</v>
      </c>
    </row>
    <row r="16" spans="2:13">
      <c r="B16" s="134"/>
      <c r="C16" s="11" t="s">
        <v>219</v>
      </c>
      <c r="D16" s="17">
        <f>EI_Residuos!Y13</f>
        <v>3.3059999999999999E-2</v>
      </c>
      <c r="E16" s="17">
        <f>EI_Residuos!Z13</f>
        <v>1.0395E-2</v>
      </c>
      <c r="F16" s="17">
        <f>EI_Residuos!AA13</f>
        <v>0</v>
      </c>
      <c r="G16" s="17">
        <v>0</v>
      </c>
      <c r="H16" s="17">
        <v>0</v>
      </c>
      <c r="I16" s="17">
        <f>EI_Residuos!AB13</f>
        <v>0.32308049999999999</v>
      </c>
      <c r="J16" s="65">
        <f>+I16/$I$17</f>
        <v>3.9944106677434164E-3</v>
      </c>
      <c r="K16" s="65">
        <f>+I16/$I$18</f>
        <v>2.1553782007827835E-3</v>
      </c>
      <c r="L16" s="167">
        <f>EI_Residuos!AI13</f>
        <v>0.85833916433878743</v>
      </c>
      <c r="M16" s="40">
        <f t="shared" si="0"/>
        <v>7.6902303844584838E-2</v>
      </c>
    </row>
    <row r="17" spans="2:13" ht="12.75" customHeight="1">
      <c r="B17" s="189" t="s">
        <v>237</v>
      </c>
      <c r="C17" s="190"/>
      <c r="D17" s="174">
        <f t="shared" ref="D17:I17" si="2">SUM(D14:D16)</f>
        <v>80.593125193810096</v>
      </c>
      <c r="E17" s="174">
        <f t="shared" si="2"/>
        <v>1.0395E-2</v>
      </c>
      <c r="F17" s="174">
        <f t="shared" si="2"/>
        <v>0</v>
      </c>
      <c r="G17" s="174">
        <f t="shared" si="2"/>
        <v>0</v>
      </c>
      <c r="H17" s="174">
        <f t="shared" si="2"/>
        <v>0</v>
      </c>
      <c r="I17" s="174">
        <f t="shared" si="2"/>
        <v>80.883145693810093</v>
      </c>
      <c r="J17" s="175">
        <f>+I17/I17</f>
        <v>1</v>
      </c>
      <c r="K17" s="176">
        <f>+I17/$I$18</f>
        <v>0.53959854908970417</v>
      </c>
      <c r="L17" s="31">
        <f>IF(I17&gt;0,SQRT(+M14+M15+M16)/I17,0)</f>
        <v>0.15426527227000028</v>
      </c>
      <c r="M17" s="18">
        <f>IFERROR((I17*L17)^2,0)</f>
        <v>155.68702034214078</v>
      </c>
    </row>
    <row r="18" spans="2:13">
      <c r="B18" s="189" t="s">
        <v>238</v>
      </c>
      <c r="C18" s="190"/>
      <c r="D18" s="29">
        <f ca="1">+D13+D17</f>
        <v>92.238723319152243</v>
      </c>
      <c r="E18" s="140">
        <f>+E13+E17</f>
        <v>1.0423735940223201E-2</v>
      </c>
      <c r="F18" s="140">
        <f>+F13+F17</f>
        <v>7.0757616083526695E-6</v>
      </c>
      <c r="G18" s="29">
        <f ca="1">+G13+G17</f>
        <v>2.721552E-2</v>
      </c>
      <c r="H18" s="29">
        <f ca="1">+H13+H17</f>
        <v>0</v>
      </c>
      <c r="I18" s="29">
        <f>+I13+I17</f>
        <v>149.89503924771282</v>
      </c>
      <c r="J18" s="66">
        <f>+I18/I18</f>
        <v>1</v>
      </c>
      <c r="K18" s="157">
        <f>+I18/$I$18</f>
        <v>1</v>
      </c>
      <c r="L18" s="188">
        <f>IF(I18&gt;0,SQRT(M13+M17)/I18,0)</f>
        <v>0.20957333667952402</v>
      </c>
    </row>
    <row r="21" spans="2:13">
      <c r="B21" s="191" t="s">
        <v>108</v>
      </c>
      <c r="C21" s="192"/>
      <c r="D21" s="192"/>
      <c r="E21" s="192"/>
      <c r="F21" s="193"/>
      <c r="I21" s="178"/>
      <c r="J21" s="178"/>
      <c r="K21" s="178">
        <f>SUM(K15:K16)</f>
        <v>1.0260831189138545E-2</v>
      </c>
    </row>
    <row r="22" spans="2:13">
      <c r="G22" s="16" t="s">
        <v>239</v>
      </c>
      <c r="I22" s="19">
        <f>SUM(I15:I16)</f>
        <v>1.538047693810078</v>
      </c>
    </row>
    <row r="23" spans="2:13">
      <c r="B23" s="2" t="s">
        <v>98</v>
      </c>
      <c r="C23" s="2" t="s">
        <v>99</v>
      </c>
      <c r="D23" s="2" t="s">
        <v>91</v>
      </c>
      <c r="G23" s="16" t="s">
        <v>240</v>
      </c>
    </row>
    <row r="24" spans="2:13">
      <c r="B24" s="2" t="s">
        <v>1</v>
      </c>
      <c r="C24" s="11" t="s">
        <v>104</v>
      </c>
      <c r="D24" s="17">
        <f>+ED_Combustibles!E125</f>
        <v>0.85443522044547537</v>
      </c>
      <c r="G24" s="16" t="s">
        <v>241</v>
      </c>
    </row>
    <row r="25" spans="2:13">
      <c r="B25" s="2" t="s">
        <v>81</v>
      </c>
      <c r="C25" s="11" t="s">
        <v>105</v>
      </c>
      <c r="D25" s="17">
        <f>+ED_Combustibles!E126</f>
        <v>0</v>
      </c>
    </row>
    <row r="26" spans="2:13" ht="28.5" customHeight="1">
      <c r="B26" s="189" t="s">
        <v>242</v>
      </c>
      <c r="C26" s="190"/>
      <c r="D26" s="29">
        <f>SUM(D24:D25)</f>
        <v>0.85443522044547537</v>
      </c>
    </row>
    <row r="27" spans="2:13">
      <c r="B27" s="2">
        <v>3</v>
      </c>
      <c r="C27" s="11" t="s">
        <v>173</v>
      </c>
      <c r="D27" s="17">
        <v>0</v>
      </c>
    </row>
    <row r="28" spans="2:13" ht="24.75" customHeight="1">
      <c r="B28" s="189" t="s">
        <v>243</v>
      </c>
      <c r="C28" s="190"/>
      <c r="D28" s="29">
        <f>+D27</f>
        <v>0</v>
      </c>
    </row>
    <row r="29" spans="2:13" ht="29.25" customHeight="1">
      <c r="B29" s="189" t="s">
        <v>244</v>
      </c>
      <c r="C29" s="190"/>
      <c r="D29" s="29">
        <f>+D26+D28</f>
        <v>0.85443522044547537</v>
      </c>
    </row>
    <row r="32" spans="2:13" ht="14.25">
      <c r="B32" s="214" t="s">
        <v>245</v>
      </c>
      <c r="C32" s="215"/>
      <c r="D32" s="215"/>
      <c r="E32" s="215"/>
      <c r="F32" s="216"/>
    </row>
    <row r="33" spans="2:6" ht="15" thickBot="1">
      <c r="B33" s="141"/>
      <c r="C33" s="141"/>
      <c r="D33" s="141"/>
      <c r="E33" s="141"/>
      <c r="F33" s="141"/>
    </row>
    <row r="34" spans="2:6" ht="38.25">
      <c r="B34" s="141"/>
      <c r="C34" s="142" t="s">
        <v>246</v>
      </c>
      <c r="D34" s="143" t="s">
        <v>247</v>
      </c>
      <c r="E34" s="143" t="s">
        <v>248</v>
      </c>
      <c r="F34" s="143" t="s">
        <v>249</v>
      </c>
    </row>
    <row r="35" spans="2:6" ht="15" thickBot="1">
      <c r="B35" s="141"/>
      <c r="C35" s="144" t="s">
        <v>250</v>
      </c>
      <c r="D35" s="145">
        <f ca="1">D18</f>
        <v>92.238723319152243</v>
      </c>
      <c r="E35" s="155">
        <f ca="1">D35*1</f>
        <v>92.238723319152243</v>
      </c>
      <c r="F35" s="152">
        <f ca="1">E35/$E$40</f>
        <v>0.61527432003764571</v>
      </c>
    </row>
    <row r="36" spans="2:6" ht="15" thickBot="1">
      <c r="B36" s="141"/>
      <c r="C36" s="144" t="s">
        <v>251</v>
      </c>
      <c r="D36" s="151">
        <f>E18</f>
        <v>1.0423735940223201E-2</v>
      </c>
      <c r="E36" s="148">
        <f>D36*29.8</f>
        <v>0.31062733101865142</v>
      </c>
      <c r="F36" s="154">
        <f t="shared" ref="F36:F39" ca="1" si="3">E36/$E$40</f>
        <v>2.072025858557449E-3</v>
      </c>
    </row>
    <row r="37" spans="2:6" ht="15" thickBot="1">
      <c r="B37" s="141"/>
      <c r="C37" s="144" t="s">
        <v>252</v>
      </c>
      <c r="D37" s="151">
        <f>F18</f>
        <v>7.0757616083526695E-6</v>
      </c>
      <c r="E37" s="148">
        <f>D37*273</f>
        <v>1.9316829190802788E-3</v>
      </c>
      <c r="F37" s="154">
        <f t="shared" ca="1" si="3"/>
        <v>1.2885205386604396E-5</v>
      </c>
    </row>
    <row r="38" spans="2:6" ht="15" thickBot="1">
      <c r="B38" s="141"/>
      <c r="C38" s="144" t="s">
        <v>124</v>
      </c>
      <c r="D38" s="147">
        <f>'ED_Extintores y Refrigerantes'!U17</f>
        <v>1.360776E-2</v>
      </c>
      <c r="E38" s="146">
        <f>'ED_Extintores y Refrigerantes'!W17</f>
        <v>26.671209600000001</v>
      </c>
      <c r="F38" s="152">
        <f t="shared" ca="1" si="3"/>
        <v>0.17790912277093682</v>
      </c>
    </row>
    <row r="39" spans="2:6" ht="15" thickBot="1">
      <c r="B39" s="141"/>
      <c r="C39" s="144" t="s">
        <v>253</v>
      </c>
      <c r="D39" s="147">
        <f>'ED_Extintores y Refrigerantes'!U16</f>
        <v>1.360776E-2</v>
      </c>
      <c r="E39" s="146">
        <f>'ED_Extintores y Refrigerantes'!W16</f>
        <v>30.692302680000001</v>
      </c>
      <c r="F39" s="152">
        <f t="shared" ca="1" si="3"/>
        <v>0.20473164612747344</v>
      </c>
    </row>
    <row r="40" spans="2:6" ht="15.75" thickBot="1">
      <c r="B40" s="141"/>
      <c r="C40" s="149" t="s">
        <v>107</v>
      </c>
      <c r="D40" s="150" t="s">
        <v>254</v>
      </c>
      <c r="E40" s="156">
        <f ca="1">SUM(E35:E39)</f>
        <v>149.91479461308998</v>
      </c>
      <c r="F40" s="153">
        <f ca="1">SUM(F35:F39)</f>
        <v>1</v>
      </c>
    </row>
  </sheetData>
  <mergeCells count="10">
    <mergeCell ref="B32:F32"/>
    <mergeCell ref="D2:L3"/>
    <mergeCell ref="B13:C13"/>
    <mergeCell ref="B17:C17"/>
    <mergeCell ref="B29:C29"/>
    <mergeCell ref="B18:C18"/>
    <mergeCell ref="B6:F6"/>
    <mergeCell ref="B21:F21"/>
    <mergeCell ref="B26:C26"/>
    <mergeCell ref="B28:C28"/>
  </mergeCells>
  <phoneticPr fontId="4" type="noConversion"/>
  <pageMargins left="0.7" right="0.7" top="0.75" bottom="0.75" header="0.3" footer="0.3"/>
  <pageSetup orientation="portrait" r:id="rId1"/>
  <ignoredErrors>
    <ignoredError sqref="J1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21F4-D097-4EB6-9F4C-E06DE622397F}">
  <dimension ref="A1:AD156"/>
  <sheetViews>
    <sheetView topLeftCell="G9" zoomScaleNormal="100" workbookViewId="0">
      <selection activeCell="K19" sqref="K19"/>
    </sheetView>
  </sheetViews>
  <sheetFormatPr defaultColWidth="11.42578125" defaultRowHeight="14.25"/>
  <cols>
    <col min="1" max="1" width="3" style="3" customWidth="1"/>
    <col min="2" max="2" width="27.28515625" style="3" bestFit="1" customWidth="1"/>
    <col min="3" max="3" width="39.5703125" style="3" customWidth="1"/>
    <col min="4" max="4" width="13.42578125" style="3" customWidth="1"/>
    <col min="5" max="5" width="13.7109375" style="3" customWidth="1"/>
    <col min="6" max="6" width="11.42578125" style="3"/>
    <col min="7" max="7" width="13.42578125" style="3" customWidth="1"/>
    <col min="8" max="8" width="11.42578125" style="3"/>
    <col min="9" max="9" width="26.7109375" style="3" customWidth="1"/>
    <col min="10" max="16384" width="11.42578125" style="3"/>
  </cols>
  <sheetData>
    <row r="1" spans="1:17" s="16" customFormat="1" ht="12.75"/>
    <row r="2" spans="1:17" s="43" customFormat="1" ht="12.75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1:17" s="43" customFormat="1" ht="12.75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4" spans="1:17" s="16" customFormat="1" ht="12.75"/>
    <row r="5" spans="1:17" s="16" customFormat="1" ht="12.75"/>
    <row r="6" spans="1:17" s="16" customFormat="1" ht="25.5">
      <c r="B6" s="23" t="s">
        <v>255</v>
      </c>
      <c r="C6" s="10" t="s">
        <v>256</v>
      </c>
      <c r="D6" s="23" t="s">
        <v>87</v>
      </c>
      <c r="E6" s="10" t="s">
        <v>257</v>
      </c>
      <c r="F6" s="23" t="s">
        <v>258</v>
      </c>
      <c r="G6" s="10">
        <v>2016</v>
      </c>
      <c r="H6" s="23" t="s">
        <v>259</v>
      </c>
      <c r="I6" s="219" t="s">
        <v>260</v>
      </c>
      <c r="J6" s="219"/>
      <c r="K6" s="219"/>
      <c r="L6" s="219"/>
      <c r="M6" s="219"/>
      <c r="N6" s="219"/>
    </row>
    <row r="7" spans="1:17" ht="14.25" customHeight="1">
      <c r="A7" s="9"/>
      <c r="I7" s="12"/>
      <c r="J7" s="12"/>
      <c r="K7" s="12"/>
      <c r="L7" s="12"/>
      <c r="M7" s="12"/>
      <c r="N7" s="12"/>
    </row>
    <row r="8" spans="1:17">
      <c r="A8" s="9"/>
      <c r="B8" s="23" t="s">
        <v>261</v>
      </c>
      <c r="C8" s="23" t="s">
        <v>262</v>
      </c>
      <c r="D8" s="22" t="s">
        <v>263</v>
      </c>
      <c r="E8" s="13" t="s">
        <v>264</v>
      </c>
      <c r="F8" s="13" t="s">
        <v>265</v>
      </c>
      <c r="G8" s="13" t="s">
        <v>266</v>
      </c>
      <c r="I8" s="9"/>
      <c r="K8" s="9"/>
      <c r="L8" s="9"/>
      <c r="M8" s="220" t="s">
        <v>104</v>
      </c>
      <c r="N8" s="221"/>
      <c r="O8" s="220" t="s">
        <v>105</v>
      </c>
      <c r="P8" s="221"/>
      <c r="Q8" s="9"/>
    </row>
    <row r="9" spans="1:17" ht="15.75" customHeight="1">
      <c r="A9" s="9"/>
      <c r="B9" s="10" t="s">
        <v>267</v>
      </c>
      <c r="C9" s="26" t="s">
        <v>268</v>
      </c>
      <c r="D9" s="28">
        <v>0.26400000000000001</v>
      </c>
      <c r="E9" s="27">
        <v>2534.8000000000002</v>
      </c>
      <c r="F9" s="25">
        <v>2.8760000000000001E-2</v>
      </c>
      <c r="G9" s="24">
        <v>4.3139999999999998E-2</v>
      </c>
      <c r="I9" s="23" t="s">
        <v>261</v>
      </c>
      <c r="J9" s="23" t="s">
        <v>262</v>
      </c>
      <c r="K9" s="22" t="s">
        <v>263</v>
      </c>
      <c r="L9" s="13" t="s">
        <v>269</v>
      </c>
      <c r="M9" s="13" t="s">
        <v>270</v>
      </c>
      <c r="N9" s="13" t="s">
        <v>271</v>
      </c>
      <c r="O9" s="13" t="s">
        <v>270</v>
      </c>
      <c r="P9" s="13" t="s">
        <v>271</v>
      </c>
      <c r="Q9" s="9"/>
    </row>
    <row r="10" spans="1:17" ht="15.75" customHeight="1">
      <c r="A10" s="9"/>
      <c r="B10" s="10" t="s">
        <v>272</v>
      </c>
      <c r="C10" s="10" t="s">
        <v>268</v>
      </c>
      <c r="D10" s="28">
        <v>0.30399999999999999</v>
      </c>
      <c r="E10" s="14">
        <v>2160.8000000000002</v>
      </c>
      <c r="F10" s="25">
        <v>2.6622E-2</v>
      </c>
      <c r="G10" s="24">
        <v>3.9933999999999997E-2</v>
      </c>
      <c r="I10" s="10" t="s">
        <v>273</v>
      </c>
      <c r="J10" s="10" t="s">
        <v>268</v>
      </c>
      <c r="K10" s="28">
        <v>0.20399999999999999</v>
      </c>
      <c r="L10" s="14">
        <v>9.6229999999999993</v>
      </c>
      <c r="M10" s="32">
        <v>2.6999999999999999E-5</v>
      </c>
      <c r="N10" s="32">
        <v>5.0000000000000004E-6</v>
      </c>
      <c r="O10" s="32">
        <v>0</v>
      </c>
      <c r="P10" s="32">
        <v>0</v>
      </c>
      <c r="Q10" s="9"/>
    </row>
    <row r="11" spans="1:17" ht="15.75" customHeight="1">
      <c r="A11" s="9"/>
      <c r="B11" s="10" t="s">
        <v>274</v>
      </c>
      <c r="C11" s="10" t="s">
        <v>268</v>
      </c>
      <c r="D11" s="28">
        <v>0.23499999999999999</v>
      </c>
      <c r="E11" s="14">
        <v>2894.1</v>
      </c>
      <c r="F11" s="25">
        <v>3.0417000000000003E-2</v>
      </c>
      <c r="G11" s="24">
        <v>4.5624999999999999E-2</v>
      </c>
      <c r="I11" s="10" t="s">
        <v>275</v>
      </c>
      <c r="J11" s="10" t="s">
        <v>268</v>
      </c>
      <c r="K11" s="28">
        <v>0.20699999999999999</v>
      </c>
      <c r="L11" s="14">
        <v>11.625</v>
      </c>
      <c r="M11" s="32">
        <v>2.9999999999999997E-5</v>
      </c>
      <c r="N11" s="32">
        <v>6.0000000000000002E-6</v>
      </c>
      <c r="O11" s="32">
        <v>0</v>
      </c>
      <c r="P11" s="32">
        <v>0</v>
      </c>
      <c r="Q11" s="9"/>
    </row>
    <row r="12" spans="1:17" ht="15.75" customHeight="1">
      <c r="A12" s="9"/>
      <c r="B12" s="10" t="s">
        <v>276</v>
      </c>
      <c r="C12" s="10" t="s">
        <v>268</v>
      </c>
      <c r="D12" s="28">
        <v>0.29299999999999998</v>
      </c>
      <c r="E12" s="14">
        <v>2214.5</v>
      </c>
      <c r="F12" s="25">
        <v>2.9170000000000001E-2</v>
      </c>
      <c r="G12" s="24">
        <v>4.3755000000000002E-2</v>
      </c>
      <c r="I12" s="10" t="s">
        <v>277</v>
      </c>
      <c r="J12" s="10" t="s">
        <v>268</v>
      </c>
      <c r="K12" s="28">
        <v>0.20599999999999999</v>
      </c>
      <c r="L12" s="14">
        <v>11.282</v>
      </c>
      <c r="M12" s="32">
        <v>2.9999999999999997E-5</v>
      </c>
      <c r="N12" s="32">
        <v>6.0000000000000002E-6</v>
      </c>
      <c r="O12" s="32">
        <v>0</v>
      </c>
      <c r="P12" s="32">
        <v>0</v>
      </c>
      <c r="Q12" s="9"/>
    </row>
    <row r="13" spans="1:17" ht="15" customHeight="1">
      <c r="A13" s="9"/>
      <c r="B13" s="10" t="s">
        <v>278</v>
      </c>
      <c r="C13" s="10" t="s">
        <v>268</v>
      </c>
      <c r="D13" s="28">
        <v>0.26100000000000001</v>
      </c>
      <c r="E13" s="15">
        <v>2507.6</v>
      </c>
      <c r="F13" s="25">
        <v>3.1212E-2</v>
      </c>
      <c r="G13" s="24">
        <v>4.6817999999999999E-2</v>
      </c>
      <c r="I13" s="10" t="s">
        <v>279</v>
      </c>
      <c r="J13" s="10" t="s">
        <v>268</v>
      </c>
      <c r="K13" s="28">
        <v>0.25600000000000001</v>
      </c>
      <c r="L13" s="14">
        <v>6.3869999999999996</v>
      </c>
      <c r="M13" s="32">
        <v>2.4000000000000001E-5</v>
      </c>
      <c r="N13" s="32">
        <v>5.0000000000000004E-6</v>
      </c>
      <c r="O13" s="32">
        <v>0</v>
      </c>
      <c r="P13" s="32">
        <v>0</v>
      </c>
      <c r="Q13" s="9"/>
    </row>
    <row r="14" spans="1:17" ht="25.5" customHeight="1">
      <c r="A14" s="9"/>
      <c r="B14" s="10" t="s">
        <v>280</v>
      </c>
      <c r="C14" s="10" t="s">
        <v>268</v>
      </c>
      <c r="D14" s="28">
        <v>0.23899999999999999</v>
      </c>
      <c r="E14" s="14">
        <v>2812.8</v>
      </c>
      <c r="F14" s="25">
        <v>3.1229E-2</v>
      </c>
      <c r="G14" s="24">
        <v>4.6844000000000004E-2</v>
      </c>
      <c r="I14" s="10" t="s">
        <v>281</v>
      </c>
      <c r="J14" s="10" t="s">
        <v>268</v>
      </c>
      <c r="K14" s="28">
        <v>0.21299999999999999</v>
      </c>
      <c r="L14" s="14">
        <v>9.84</v>
      </c>
      <c r="M14" s="32">
        <v>2.3E-5</v>
      </c>
      <c r="N14" s="32">
        <v>5.0000000000000004E-6</v>
      </c>
      <c r="O14" s="32">
        <v>0</v>
      </c>
      <c r="P14" s="32">
        <v>0</v>
      </c>
      <c r="Q14" s="9"/>
    </row>
    <row r="15" spans="1:17" ht="25.5" customHeight="1">
      <c r="A15" s="9"/>
      <c r="B15" s="10" t="s">
        <v>282</v>
      </c>
      <c r="C15" s="10" t="s">
        <v>268</v>
      </c>
      <c r="D15" s="28">
        <v>0.35399999999999998</v>
      </c>
      <c r="E15" s="15">
        <v>1903.2</v>
      </c>
      <c r="F15" s="25">
        <v>2.0948000000000001E-2</v>
      </c>
      <c r="G15" s="24">
        <v>3.1420999999999998E-2</v>
      </c>
      <c r="I15" s="10" t="s">
        <v>74</v>
      </c>
      <c r="J15" s="10" t="s">
        <v>283</v>
      </c>
      <c r="K15" s="28">
        <v>0.29799999999999999</v>
      </c>
      <c r="L15" s="14">
        <v>6.8819999999999997</v>
      </c>
      <c r="M15" s="32">
        <v>2.5999999999999998E-5</v>
      </c>
      <c r="N15" s="32">
        <v>5.0000000000000004E-6</v>
      </c>
      <c r="O15" s="32">
        <v>3.4E-5</v>
      </c>
      <c r="P15" s="32">
        <v>3.4E-5</v>
      </c>
      <c r="Q15" s="9"/>
    </row>
    <row r="16" spans="1:17" ht="15.75" customHeight="1">
      <c r="A16" s="9"/>
      <c r="B16" s="10" t="s">
        <v>284</v>
      </c>
      <c r="C16" s="10" t="s">
        <v>268</v>
      </c>
      <c r="D16" s="28">
        <v>0.254</v>
      </c>
      <c r="E16" s="14">
        <v>2560.3000000000002</v>
      </c>
      <c r="F16" s="25">
        <v>3.3076999999999995E-2</v>
      </c>
      <c r="G16" s="24">
        <v>4.9614999999999999E-2</v>
      </c>
      <c r="I16" s="10" t="s">
        <v>67</v>
      </c>
      <c r="J16" s="10" t="s">
        <v>283</v>
      </c>
      <c r="K16" s="28">
        <v>0.34799999999999998</v>
      </c>
      <c r="L16" s="14">
        <v>5.92</v>
      </c>
      <c r="M16" s="32">
        <v>1.4999999999999999E-5</v>
      </c>
      <c r="N16" s="32">
        <v>3.0000000000000001E-6</v>
      </c>
      <c r="O16" s="32">
        <v>8.7999999999999998E-5</v>
      </c>
      <c r="P16" s="32">
        <v>2.0000000000000001E-4</v>
      </c>
      <c r="Q16" s="9"/>
    </row>
    <row r="17" spans="1:17" ht="25.5" customHeight="1">
      <c r="A17" s="9"/>
      <c r="B17" s="10" t="s">
        <v>285</v>
      </c>
      <c r="C17" s="10" t="s">
        <v>268</v>
      </c>
      <c r="D17" s="28">
        <v>0.251</v>
      </c>
      <c r="E17" s="14">
        <v>2691</v>
      </c>
      <c r="F17" s="25">
        <v>2.9204999999999998E-2</v>
      </c>
      <c r="G17" s="24">
        <v>4.3806999999999999E-2</v>
      </c>
      <c r="I17" s="10" t="s">
        <v>286</v>
      </c>
      <c r="J17" s="10" t="s">
        <v>268</v>
      </c>
      <c r="K17" s="28">
        <v>0.20599999999999999</v>
      </c>
      <c r="L17" s="14">
        <v>10.178000000000001</v>
      </c>
      <c r="M17" s="32">
        <v>2.6999999999999999E-5</v>
      </c>
      <c r="N17" s="32">
        <v>5.0000000000000004E-6</v>
      </c>
      <c r="O17" s="32">
        <v>0</v>
      </c>
      <c r="P17" s="32">
        <v>0</v>
      </c>
      <c r="Q17" s="9"/>
    </row>
    <row r="18" spans="1:17" ht="18.75" customHeight="1">
      <c r="A18" s="9"/>
      <c r="B18" s="10" t="s">
        <v>287</v>
      </c>
      <c r="C18" s="10" t="s">
        <v>268</v>
      </c>
      <c r="D18" s="28">
        <v>0.218</v>
      </c>
      <c r="E18" s="14">
        <v>3052.8</v>
      </c>
      <c r="F18" s="25">
        <v>3.5206000000000001E-2</v>
      </c>
      <c r="G18" s="24">
        <v>5.2808999999999995E-2</v>
      </c>
      <c r="I18" s="10" t="s">
        <v>66</v>
      </c>
      <c r="J18" s="10" t="s">
        <v>268</v>
      </c>
      <c r="K18" s="28">
        <v>2.0300000000000001E-3</v>
      </c>
      <c r="L18" s="14">
        <v>8.8079999999999998</v>
      </c>
      <c r="M18" s="32">
        <v>2.6999999999999999E-5</v>
      </c>
      <c r="N18" s="32">
        <v>5.0000000000000004E-6</v>
      </c>
      <c r="O18" s="32">
        <v>2.9299999999999997E-4</v>
      </c>
      <c r="P18" s="32">
        <v>2.8E-5</v>
      </c>
      <c r="Q18" s="9"/>
    </row>
    <row r="19" spans="1:17" ht="15.75" customHeight="1">
      <c r="A19" s="9"/>
      <c r="B19" s="10" t="s">
        <v>288</v>
      </c>
      <c r="C19" s="10" t="s">
        <v>268</v>
      </c>
      <c r="D19" s="28">
        <v>0.29799999999999999</v>
      </c>
      <c r="E19" s="14">
        <v>2277.4</v>
      </c>
      <c r="F19" s="25">
        <v>2.4405E-2</v>
      </c>
      <c r="G19" s="24">
        <v>3.6607999999999995E-2</v>
      </c>
      <c r="I19" s="10" t="s">
        <v>289</v>
      </c>
      <c r="J19" s="10" t="s">
        <v>268</v>
      </c>
      <c r="K19" s="28">
        <v>0.23200000000000001</v>
      </c>
      <c r="L19" s="14">
        <v>8.8629999999999995</v>
      </c>
      <c r="M19" s="32">
        <v>8.9999999999999985E-6</v>
      </c>
      <c r="N19" s="32">
        <v>6.0000000000000002E-6</v>
      </c>
      <c r="O19" s="32">
        <v>3.6999999999999998E-5</v>
      </c>
      <c r="P19" s="32">
        <v>3.6999999999999998E-5</v>
      </c>
      <c r="Q19" s="9"/>
    </row>
    <row r="20" spans="1:17">
      <c r="A20" s="9"/>
      <c r="B20" s="10" t="s">
        <v>290</v>
      </c>
      <c r="C20" s="10" t="s">
        <v>283</v>
      </c>
      <c r="D20" s="28">
        <v>0.43</v>
      </c>
      <c r="E20" s="14">
        <v>1664.9</v>
      </c>
      <c r="F20" s="25">
        <v>0.44228800000000001</v>
      </c>
      <c r="G20" s="24">
        <v>5.8972000000000004E-2</v>
      </c>
      <c r="I20" s="10" t="s">
        <v>73</v>
      </c>
      <c r="J20" s="10" t="s">
        <v>268</v>
      </c>
      <c r="K20" s="28">
        <v>2.0500000000000002E-3</v>
      </c>
      <c r="L20" s="14">
        <v>10.148999999999999</v>
      </c>
      <c r="M20" s="32">
        <v>1.0000000000000001E-5</v>
      </c>
      <c r="N20" s="32">
        <v>6.0000000000000002E-6</v>
      </c>
      <c r="O20" s="32">
        <v>3.6999999999999998E-5</v>
      </c>
      <c r="P20" s="32">
        <v>3.6999999999999998E-5</v>
      </c>
      <c r="Q20" s="9"/>
    </row>
    <row r="21" spans="1:17" ht="15.75" customHeight="1">
      <c r="A21" s="9"/>
      <c r="B21" s="10" t="s">
        <v>291</v>
      </c>
      <c r="C21" s="10" t="s">
        <v>283</v>
      </c>
      <c r="D21" s="28">
        <v>0.38200000000000001</v>
      </c>
      <c r="E21" s="14">
        <v>1869.8</v>
      </c>
      <c r="F21" s="25">
        <v>0.499191</v>
      </c>
      <c r="G21" s="24">
        <v>6.6558999999999993E-2</v>
      </c>
      <c r="I21" s="10" t="s">
        <v>292</v>
      </c>
      <c r="J21" s="10" t="s">
        <v>268</v>
      </c>
      <c r="K21" s="28">
        <v>0.23400000000000001</v>
      </c>
      <c r="L21" s="14">
        <v>7.6180000000000003</v>
      </c>
      <c r="M21" s="32">
        <v>2.4000000000000001E-5</v>
      </c>
      <c r="N21" s="32">
        <v>5.0000000000000004E-6</v>
      </c>
      <c r="O21" s="32">
        <v>2.63E-4</v>
      </c>
      <c r="P21" s="32">
        <v>2.5000000000000001E-5</v>
      </c>
      <c r="Q21" s="9"/>
    </row>
    <row r="22" spans="1:17" ht="15.75" customHeight="1">
      <c r="A22" s="9"/>
      <c r="B22" s="10" t="s">
        <v>293</v>
      </c>
      <c r="C22" s="10" t="s">
        <v>283</v>
      </c>
      <c r="D22" s="28">
        <v>0.39800000000000002</v>
      </c>
      <c r="E22" s="14">
        <v>1758.4</v>
      </c>
      <c r="F22" s="25">
        <v>0.50312900000000005</v>
      </c>
      <c r="G22" s="24">
        <v>6.7084000000000005E-2</v>
      </c>
    </row>
    <row r="23" spans="1:17" ht="15.75" customHeight="1">
      <c r="A23" s="9"/>
      <c r="B23" s="10" t="s">
        <v>294</v>
      </c>
      <c r="C23" s="10" t="s">
        <v>283</v>
      </c>
      <c r="D23" s="28">
        <v>0.35799999999999998</v>
      </c>
      <c r="E23" s="14">
        <v>1965.8</v>
      </c>
      <c r="F23" s="25">
        <v>0.5489210000000001</v>
      </c>
      <c r="G23" s="24">
        <v>7.318899999999999E-2</v>
      </c>
      <c r="I23" s="9"/>
      <c r="K23" s="9"/>
      <c r="L23" s="9"/>
      <c r="M23" s="220" t="s">
        <v>104</v>
      </c>
      <c r="N23" s="221"/>
      <c r="O23" s="220" t="s">
        <v>105</v>
      </c>
      <c r="P23" s="221"/>
      <c r="Q23" s="9"/>
    </row>
    <row r="24" spans="1:17" ht="31.5" customHeight="1">
      <c r="A24" s="9"/>
      <c r="B24" s="10" t="s">
        <v>295</v>
      </c>
      <c r="C24" s="10" t="s">
        <v>283</v>
      </c>
      <c r="D24" s="28">
        <v>0.44900000000000001</v>
      </c>
      <c r="E24" s="14">
        <v>1553.3</v>
      </c>
      <c r="F24" s="25">
        <v>0.44858800000000004</v>
      </c>
      <c r="G24" s="24">
        <v>5.9811999999999997E-2</v>
      </c>
      <c r="I24" s="23" t="s">
        <v>261</v>
      </c>
      <c r="J24" s="23" t="s">
        <v>262</v>
      </c>
      <c r="K24" s="22" t="s">
        <v>263</v>
      </c>
      <c r="L24" s="13" t="s">
        <v>296</v>
      </c>
      <c r="M24" s="13" t="s">
        <v>297</v>
      </c>
      <c r="N24" s="13" t="s">
        <v>298</v>
      </c>
      <c r="O24" s="13" t="s">
        <v>297</v>
      </c>
      <c r="P24" s="13" t="s">
        <v>298</v>
      </c>
      <c r="Q24" s="9"/>
    </row>
    <row r="25" spans="1:17" ht="15.75" customHeight="1">
      <c r="A25" s="9"/>
      <c r="B25" s="10" t="s">
        <v>299</v>
      </c>
      <c r="C25" s="10" t="s">
        <v>283</v>
      </c>
      <c r="D25" s="28">
        <v>0.30299999999999999</v>
      </c>
      <c r="E25" s="14">
        <v>2222.1</v>
      </c>
      <c r="F25" s="25">
        <v>0.73518600000000001</v>
      </c>
      <c r="G25" s="24">
        <v>9.8025000000000001E-2</v>
      </c>
      <c r="I25" s="10" t="s">
        <v>300</v>
      </c>
      <c r="J25" s="10" t="s">
        <v>283</v>
      </c>
      <c r="K25" s="28">
        <v>8.8870000000000005E-2</v>
      </c>
      <c r="L25" s="14">
        <v>1.8560000000000001</v>
      </c>
      <c r="M25" s="32">
        <v>2.1999999999999999E-5</v>
      </c>
      <c r="N25" s="32">
        <v>2.2000000000000001E-6</v>
      </c>
      <c r="O25" s="32">
        <v>0</v>
      </c>
      <c r="P25" s="32">
        <v>0</v>
      </c>
    </row>
    <row r="26" spans="1:17" ht="15.75" customHeight="1">
      <c r="A26" s="9"/>
      <c r="B26" s="10" t="s">
        <v>301</v>
      </c>
      <c r="C26" s="10" t="s">
        <v>283</v>
      </c>
      <c r="D26" s="28">
        <v>0.373</v>
      </c>
      <c r="E26" s="14">
        <v>1871.7</v>
      </c>
      <c r="F26" s="25">
        <v>0.53777999999999992</v>
      </c>
      <c r="G26" s="24">
        <v>7.170399999999999E-2</v>
      </c>
      <c r="I26" s="10" t="s">
        <v>302</v>
      </c>
      <c r="J26" s="10" t="s">
        <v>268</v>
      </c>
      <c r="K26" s="28">
        <v>0.18914999999999998</v>
      </c>
      <c r="L26" s="14">
        <v>0.6129</v>
      </c>
      <c r="M26" s="32">
        <v>1.4999999999999999E-5</v>
      </c>
      <c r="N26" s="32">
        <v>1.5E-6</v>
      </c>
      <c r="O26" s="32">
        <v>0</v>
      </c>
      <c r="P26" s="32">
        <v>0</v>
      </c>
    </row>
    <row r="27" spans="1:17">
      <c r="A27" s="9"/>
      <c r="B27" s="10" t="s">
        <v>303</v>
      </c>
      <c r="C27" s="10" t="s">
        <v>283</v>
      </c>
      <c r="D27" s="28">
        <v>0.441</v>
      </c>
      <c r="E27" s="14">
        <v>1521.3</v>
      </c>
      <c r="F27" s="25">
        <v>0.50980399999999992</v>
      </c>
      <c r="G27" s="24">
        <v>6.7974000000000007E-2</v>
      </c>
      <c r="I27" s="10" t="s">
        <v>304</v>
      </c>
      <c r="J27" s="10" t="s">
        <v>268</v>
      </c>
      <c r="K27" s="28">
        <v>6.5890000000000004E-2</v>
      </c>
      <c r="L27" s="14">
        <v>1.9805999999999999</v>
      </c>
      <c r="M27" s="32">
        <v>3.57E-5</v>
      </c>
      <c r="N27" s="32">
        <v>3.5999999999999998E-6</v>
      </c>
      <c r="O27" s="32">
        <v>3.2799999999999999E-3</v>
      </c>
      <c r="P27" s="32">
        <v>1.07E-4</v>
      </c>
    </row>
    <row r="28" spans="1:17" ht="15.75" customHeight="1">
      <c r="A28" s="9"/>
      <c r="B28" s="10" t="s">
        <v>305</v>
      </c>
      <c r="C28" s="10" t="s">
        <v>283</v>
      </c>
      <c r="D28" s="28">
        <v>0.36799999999999999</v>
      </c>
      <c r="E28" s="14">
        <v>1958.4</v>
      </c>
      <c r="F28" s="25">
        <v>0.50937299999999996</v>
      </c>
      <c r="G28" s="24">
        <v>6.791599999999999E-2</v>
      </c>
      <c r="I28" s="10" t="s">
        <v>306</v>
      </c>
      <c r="J28" s="10" t="s">
        <v>268</v>
      </c>
      <c r="K28" s="28">
        <v>1.15E-3</v>
      </c>
      <c r="L28" s="14">
        <v>2.1913</v>
      </c>
      <c r="M28" s="32">
        <v>3.8699999999999999E-5</v>
      </c>
      <c r="N28" s="32">
        <v>3.8999999999999999E-6</v>
      </c>
      <c r="O28" s="32">
        <v>3.558E-3</v>
      </c>
      <c r="P28" s="32">
        <v>1.16E-4</v>
      </c>
    </row>
    <row r="29" spans="1:17" ht="15.75" customHeight="1">
      <c r="A29" s="9"/>
      <c r="B29" s="10" t="s">
        <v>307</v>
      </c>
      <c r="C29" s="10" t="s">
        <v>283</v>
      </c>
      <c r="D29" s="28">
        <v>0.35899999999999999</v>
      </c>
      <c r="E29" s="14">
        <v>1953.4</v>
      </c>
      <c r="F29" s="25">
        <v>0.55467</v>
      </c>
      <c r="G29" s="24">
        <v>7.3956000000000008E-2</v>
      </c>
      <c r="I29" s="10" t="s">
        <v>308</v>
      </c>
      <c r="J29" s="10" t="s">
        <v>268</v>
      </c>
      <c r="K29" s="28">
        <v>1.16E-3</v>
      </c>
      <c r="L29" s="14">
        <v>1.8396999999999999</v>
      </c>
      <c r="M29" s="32">
        <v>3.3500000000000001E-5</v>
      </c>
      <c r="N29" s="32">
        <v>3.3000000000000002E-6</v>
      </c>
      <c r="O29" s="32">
        <v>3.0815E-3</v>
      </c>
      <c r="P29" s="32">
        <v>1.005E-4</v>
      </c>
    </row>
    <row r="30" spans="1:17" ht="15.75" customHeight="1">
      <c r="A30" s="9"/>
      <c r="B30" s="10" t="s">
        <v>309</v>
      </c>
      <c r="C30" s="10" t="s">
        <v>283</v>
      </c>
      <c r="D30" s="28">
        <v>0.35</v>
      </c>
      <c r="E30" s="14">
        <v>2005.4</v>
      </c>
      <c r="F30" s="25">
        <v>0.56907000000000008</v>
      </c>
      <c r="G30" s="24">
        <v>7.5875999999999999E-2</v>
      </c>
      <c r="I30" s="10" t="s">
        <v>310</v>
      </c>
      <c r="J30" s="10" t="s">
        <v>268</v>
      </c>
      <c r="K30" s="28">
        <v>7.107999999999999E-2</v>
      </c>
      <c r="L30" s="14">
        <v>1.8259000000000001</v>
      </c>
      <c r="M30" s="32">
        <v>3.3300000000000003E-5</v>
      </c>
      <c r="N30" s="32">
        <v>3.3000000000000002E-6</v>
      </c>
      <c r="O30" s="32">
        <v>3.0607000000000004E-3</v>
      </c>
      <c r="P30" s="32">
        <v>9.98E-5</v>
      </c>
    </row>
    <row r="31" spans="1:17" ht="15.75" customHeight="1">
      <c r="A31" s="9"/>
      <c r="B31" s="10" t="s">
        <v>311</v>
      </c>
      <c r="C31" s="10" t="s">
        <v>283</v>
      </c>
      <c r="D31" s="28">
        <v>0.35899999999999999</v>
      </c>
      <c r="E31" s="14">
        <v>1942.8</v>
      </c>
      <c r="F31" s="25">
        <v>0.5608200000000001</v>
      </c>
      <c r="G31" s="24">
        <v>7.4775999999999995E-2</v>
      </c>
      <c r="I31" s="10" t="s">
        <v>312</v>
      </c>
      <c r="J31" s="10" t="s">
        <v>268</v>
      </c>
      <c r="K31" s="28">
        <v>6.3630000000000006E-2</v>
      </c>
      <c r="L31" s="14">
        <v>2.0354999999999999</v>
      </c>
      <c r="M31" s="32">
        <v>3.7299999999999999E-5</v>
      </c>
      <c r="N31" s="32">
        <v>3.7000000000000002E-6</v>
      </c>
      <c r="O31" s="32">
        <v>3.4277999999999999E-3</v>
      </c>
      <c r="P31" s="32">
        <v>1.1179999999999999E-4</v>
      </c>
    </row>
    <row r="32" spans="1:17" ht="15.75" customHeight="1">
      <c r="A32" s="9"/>
      <c r="B32" s="10" t="s">
        <v>313</v>
      </c>
      <c r="C32" s="10" t="s">
        <v>283</v>
      </c>
      <c r="D32" s="28">
        <v>0.36099999999999999</v>
      </c>
      <c r="E32" s="14">
        <v>1932.1</v>
      </c>
      <c r="F32" s="25">
        <v>0.55746000000000007</v>
      </c>
      <c r="G32" s="24">
        <v>7.4328000000000005E-2</v>
      </c>
      <c r="I32" s="10" t="s">
        <v>314</v>
      </c>
      <c r="J32" s="10" t="s">
        <v>268</v>
      </c>
      <c r="K32" s="28">
        <v>3.7130000000000003E-2</v>
      </c>
      <c r="L32" s="14">
        <v>1.9775</v>
      </c>
      <c r="M32" s="32">
        <v>3.54E-5</v>
      </c>
      <c r="N32" s="32">
        <v>3.4999999999999999E-6</v>
      </c>
      <c r="O32" s="32">
        <v>3.2595000000000002E-3</v>
      </c>
      <c r="P32" s="32">
        <v>1.0630000000000001E-4</v>
      </c>
    </row>
    <row r="33" spans="1:30" ht="15.75" customHeight="1">
      <c r="A33" s="9"/>
      <c r="B33" s="10" t="s">
        <v>315</v>
      </c>
      <c r="C33" s="10" t="s">
        <v>268</v>
      </c>
      <c r="D33" s="28">
        <v>0.221</v>
      </c>
      <c r="E33" s="14">
        <v>2941.8</v>
      </c>
      <c r="F33" s="25">
        <v>1.1376220000000001</v>
      </c>
      <c r="G33" s="24">
        <v>3.7919999999999998E-3</v>
      </c>
      <c r="I33" s="10" t="s">
        <v>316</v>
      </c>
      <c r="J33" s="10" t="s">
        <v>268</v>
      </c>
      <c r="K33" s="28">
        <v>3.0299999999999997E-3</v>
      </c>
      <c r="L33" s="14">
        <v>2.1621000000000001</v>
      </c>
      <c r="M33" s="32">
        <v>3.7900000000000006E-5</v>
      </c>
      <c r="N33" s="32">
        <v>3.8E-6</v>
      </c>
      <c r="O33" s="32">
        <v>3.49E-3</v>
      </c>
      <c r="P33" s="32">
        <v>1.138E-4</v>
      </c>
    </row>
    <row r="34" spans="1:30" ht="15.75" customHeight="1">
      <c r="A34" s="9"/>
      <c r="B34" s="9"/>
      <c r="C34" s="9"/>
      <c r="D34" s="9"/>
      <c r="E34" s="9"/>
      <c r="F34" s="9"/>
      <c r="G34" s="9"/>
      <c r="H34" s="9"/>
      <c r="I34" s="10" t="s">
        <v>317</v>
      </c>
      <c r="J34" s="10" t="s">
        <v>268</v>
      </c>
      <c r="K34" s="28">
        <v>7.0720000000000005E-2</v>
      </c>
      <c r="L34" s="14">
        <v>1.8321000000000001</v>
      </c>
      <c r="M34" s="32">
        <v>3.3500000000000001E-5</v>
      </c>
      <c r="N34" s="32">
        <v>3.3999999999999996E-6</v>
      </c>
      <c r="O34" s="32">
        <v>3.0825000000000002E-3</v>
      </c>
      <c r="P34" s="32">
        <v>1.005E-4</v>
      </c>
      <c r="R34" s="9"/>
      <c r="S34" s="9"/>
    </row>
    <row r="35" spans="1:30" ht="15.75" customHeight="1">
      <c r="A35" s="9"/>
      <c r="B35" s="9"/>
      <c r="C35" s="9"/>
      <c r="D35" s="9"/>
      <c r="E35" s="9"/>
      <c r="I35" s="35" t="s">
        <v>318</v>
      </c>
      <c r="J35" s="35" t="s">
        <v>268</v>
      </c>
      <c r="K35" s="36">
        <v>2.6000000000000002E-2</v>
      </c>
      <c r="L35" s="37">
        <v>3.0510000000000002</v>
      </c>
      <c r="M35" s="38">
        <v>4.4999999999999996E-5</v>
      </c>
      <c r="N35" s="38">
        <v>5.0000000000000004E-6</v>
      </c>
      <c r="O35" s="38">
        <v>4.1780000000000003E-3</v>
      </c>
      <c r="P35" s="38">
        <v>1.36E-4</v>
      </c>
      <c r="Q35" s="3" t="s">
        <v>319</v>
      </c>
      <c r="R35" s="9"/>
      <c r="S35" s="9"/>
    </row>
    <row r="36" spans="1:30" ht="15.75" customHeight="1">
      <c r="A36" s="9"/>
      <c r="I36" s="10" t="s">
        <v>320</v>
      </c>
      <c r="J36" s="10" t="s">
        <v>268</v>
      </c>
      <c r="K36" s="28">
        <v>2.5219999999999999E-2</v>
      </c>
      <c r="L36" s="14">
        <v>5.5792000000000002</v>
      </c>
      <c r="M36" s="32">
        <v>8.6299999999999997E-5</v>
      </c>
      <c r="N36" s="32">
        <v>8.6000000000000007E-6</v>
      </c>
      <c r="O36" s="32">
        <v>5.3476000000000001E-3</v>
      </c>
      <c r="P36" s="32">
        <v>1.73E-5</v>
      </c>
      <c r="R36" s="9"/>
      <c r="S36" s="9"/>
      <c r="AD36" s="9"/>
    </row>
    <row r="37" spans="1:30" ht="15.75" customHeight="1">
      <c r="A37" s="9"/>
      <c r="I37" s="10" t="s">
        <v>321</v>
      </c>
      <c r="J37" s="10" t="s">
        <v>268</v>
      </c>
      <c r="K37" s="28">
        <v>2.8499999999999997E-3</v>
      </c>
      <c r="L37" s="14">
        <v>2.2818000000000001</v>
      </c>
      <c r="M37" s="32">
        <v>4.0599999999999998E-5</v>
      </c>
      <c r="N37" s="32">
        <v>4.1000000000000006E-6</v>
      </c>
      <c r="O37" s="32">
        <v>0</v>
      </c>
      <c r="P37" s="32">
        <v>0</v>
      </c>
      <c r="R37" s="9"/>
      <c r="S37" s="9"/>
      <c r="AD37" s="9"/>
    </row>
    <row r="38" spans="1:30">
      <c r="A38" s="9"/>
      <c r="I38" s="10" t="s">
        <v>322</v>
      </c>
      <c r="J38" s="10" t="s">
        <v>268</v>
      </c>
      <c r="K38" s="28">
        <v>0.10070999999999999</v>
      </c>
      <c r="L38" s="14">
        <v>1.9420999999999999</v>
      </c>
      <c r="M38" s="32">
        <v>3.5499999999999996E-5</v>
      </c>
      <c r="N38" s="32">
        <v>3.5999999999999998E-6</v>
      </c>
      <c r="O38" s="32">
        <v>3.2690000000000002E-3</v>
      </c>
      <c r="P38" s="32">
        <v>1.066E-4</v>
      </c>
      <c r="R38" s="9"/>
      <c r="S38" s="9"/>
      <c r="AD38" s="9"/>
    </row>
    <row r="39" spans="1:30" ht="18.75" customHeight="1">
      <c r="A39" s="9"/>
      <c r="I39" s="10" t="s">
        <v>323</v>
      </c>
      <c r="J39" s="10" t="s">
        <v>268</v>
      </c>
      <c r="K39" s="28">
        <v>6.6460000000000005E-2</v>
      </c>
      <c r="L39" s="14">
        <v>2.101</v>
      </c>
      <c r="M39" s="32">
        <v>3.7299999999999999E-5</v>
      </c>
      <c r="N39" s="32">
        <v>3.7000000000000002E-6</v>
      </c>
      <c r="O39" s="32">
        <v>3.4272999999999999E-3</v>
      </c>
      <c r="P39" s="32">
        <v>1.1179999999999999E-4</v>
      </c>
      <c r="R39" s="9"/>
      <c r="S39" s="9"/>
      <c r="AD39" s="9"/>
    </row>
    <row r="40" spans="1:30" ht="15.75" customHeight="1">
      <c r="A40" s="9"/>
      <c r="I40" s="10" t="s">
        <v>324</v>
      </c>
      <c r="J40" s="10" t="s">
        <v>268</v>
      </c>
      <c r="K40" s="28">
        <v>4.79E-3</v>
      </c>
      <c r="L40" s="14">
        <v>2.1795</v>
      </c>
      <c r="M40" s="32">
        <v>3.8500000000000001E-5</v>
      </c>
      <c r="N40" s="32">
        <v>3.8E-6</v>
      </c>
      <c r="O40" s="32">
        <v>3.5390999999999999E-3</v>
      </c>
      <c r="P40" s="32">
        <v>1.154E-4</v>
      </c>
      <c r="R40" s="9"/>
      <c r="S40" s="9"/>
      <c r="AD40" s="9"/>
    </row>
    <row r="41" spans="1:30">
      <c r="A41" s="9"/>
      <c r="I41" s="10" t="s">
        <v>325</v>
      </c>
      <c r="J41" s="10" t="s">
        <v>268</v>
      </c>
      <c r="K41" s="28">
        <v>0.5</v>
      </c>
      <c r="L41" s="14">
        <v>3.1218909028430342</v>
      </c>
      <c r="M41" s="32">
        <v>0</v>
      </c>
      <c r="N41" s="32">
        <v>0</v>
      </c>
      <c r="O41" s="32">
        <v>0</v>
      </c>
      <c r="P41" s="32">
        <v>0</v>
      </c>
      <c r="R41" s="9"/>
      <c r="S41" s="9"/>
      <c r="AD41" s="9"/>
    </row>
    <row r="42" spans="1:30">
      <c r="A42" s="9"/>
      <c r="Q42" s="9"/>
      <c r="R42" s="9"/>
      <c r="S42" s="9"/>
      <c r="AD42" s="9"/>
    </row>
    <row r="43" spans="1:30" ht="15.75" customHeight="1">
      <c r="A43" s="9"/>
      <c r="Q43" s="9"/>
      <c r="R43" s="9"/>
      <c r="S43" s="9"/>
      <c r="AD43" s="9"/>
    </row>
    <row r="44" spans="1:30" ht="15.75" customHeight="1">
      <c r="A44" s="9"/>
      <c r="Q44" s="9"/>
      <c r="R44" s="9"/>
      <c r="S44" s="9"/>
      <c r="AD44" s="9"/>
    </row>
    <row r="45" spans="1:30" s="16" customFormat="1" ht="25.5">
      <c r="B45" s="23" t="s">
        <v>255</v>
      </c>
      <c r="C45" s="10" t="s">
        <v>326</v>
      </c>
      <c r="D45" s="23" t="s">
        <v>87</v>
      </c>
      <c r="E45" s="10" t="s">
        <v>257</v>
      </c>
      <c r="F45" s="23" t="s">
        <v>258</v>
      </c>
      <c r="G45" s="10" t="s">
        <v>327</v>
      </c>
      <c r="H45" s="23" t="s">
        <v>259</v>
      </c>
      <c r="I45" s="219" t="s">
        <v>328</v>
      </c>
      <c r="J45" s="219"/>
      <c r="K45" s="219"/>
      <c r="L45" s="219"/>
      <c r="M45" s="219"/>
      <c r="N45" s="219"/>
    </row>
    <row r="46" spans="1:30" ht="15.75" customHeight="1">
      <c r="A46" s="9"/>
      <c r="Q46" s="9"/>
      <c r="R46" s="9"/>
      <c r="S46" s="9"/>
      <c r="AD46" s="9"/>
    </row>
    <row r="47" spans="1:30" ht="28.5" customHeight="1">
      <c r="A47" s="9"/>
      <c r="B47" s="22" t="s">
        <v>258</v>
      </c>
      <c r="C47" s="22" t="s">
        <v>150</v>
      </c>
      <c r="D47" s="22" t="s">
        <v>263</v>
      </c>
      <c r="Q47" s="9"/>
      <c r="R47" s="9"/>
      <c r="S47" s="9"/>
      <c r="AD47" s="9"/>
    </row>
    <row r="48" spans="1:30" ht="15.75" customHeight="1">
      <c r="A48" s="9"/>
      <c r="B48" s="11">
        <v>2009</v>
      </c>
      <c r="C48" s="24">
        <v>0.126</v>
      </c>
      <c r="D48" s="28">
        <v>0.1</v>
      </c>
      <c r="Q48" s="9"/>
      <c r="R48" s="9"/>
      <c r="S48" s="9"/>
      <c r="AD48" s="9"/>
    </row>
    <row r="49" spans="1:30" ht="15.75" customHeight="1">
      <c r="A49" s="9"/>
      <c r="B49" s="11">
        <v>2010</v>
      </c>
      <c r="C49" s="24">
        <v>0.20335300000000001</v>
      </c>
      <c r="D49" s="28">
        <v>0.1</v>
      </c>
      <c r="Q49" s="9"/>
      <c r="R49" s="9"/>
      <c r="S49" s="9"/>
      <c r="AD49" s="9"/>
    </row>
    <row r="50" spans="1:30" ht="15.75" customHeight="1">
      <c r="A50" s="9"/>
      <c r="B50" s="11">
        <v>2011</v>
      </c>
      <c r="C50" s="24">
        <v>0.16600000000000001</v>
      </c>
      <c r="D50" s="28">
        <v>0.1</v>
      </c>
      <c r="Q50" s="9"/>
      <c r="R50" s="9"/>
      <c r="S50" s="9"/>
      <c r="AD50" s="9"/>
    </row>
    <row r="51" spans="1:30" ht="15.75" customHeight="1">
      <c r="A51" s="9"/>
      <c r="B51" s="11">
        <v>2012</v>
      </c>
      <c r="C51" s="24">
        <v>0.12768831089721858</v>
      </c>
      <c r="D51" s="28">
        <v>0.1</v>
      </c>
      <c r="Q51" s="9"/>
      <c r="R51" s="9"/>
      <c r="S51" s="9"/>
      <c r="AD51" s="9"/>
    </row>
    <row r="52" spans="1:30" ht="15.75" customHeight="1">
      <c r="A52" s="9"/>
      <c r="B52" s="11">
        <v>2013</v>
      </c>
      <c r="C52" s="24">
        <v>0.11</v>
      </c>
      <c r="D52" s="28">
        <v>0.1</v>
      </c>
      <c r="Q52" s="9"/>
      <c r="R52" s="9"/>
      <c r="S52" s="9"/>
      <c r="AD52" s="9"/>
    </row>
    <row r="53" spans="1:30" ht="15.75" customHeight="1">
      <c r="A53" s="9"/>
      <c r="B53" s="11">
        <v>2014</v>
      </c>
      <c r="C53" s="24">
        <v>0.20960000000000001</v>
      </c>
      <c r="D53" s="28">
        <v>0.1</v>
      </c>
      <c r="Q53" s="9"/>
      <c r="R53" s="9"/>
      <c r="S53" s="9"/>
      <c r="AD53" s="9"/>
    </row>
    <row r="54" spans="1:30" ht="15.75" customHeight="1">
      <c r="A54" s="9"/>
      <c r="B54" s="11">
        <v>2015</v>
      </c>
      <c r="C54" s="24">
        <v>0.19900000000000001</v>
      </c>
      <c r="D54" s="28">
        <v>0.1</v>
      </c>
      <c r="Q54" s="9"/>
      <c r="R54" s="9"/>
      <c r="S54" s="9"/>
      <c r="AD54" s="9"/>
    </row>
    <row r="55" spans="1:30">
      <c r="A55" s="9"/>
      <c r="B55" s="11">
        <v>2016</v>
      </c>
      <c r="C55" s="24">
        <v>0.19</v>
      </c>
      <c r="D55" s="28">
        <v>0.1</v>
      </c>
      <c r="Q55" s="9"/>
      <c r="R55" s="9"/>
      <c r="S55" s="9"/>
      <c r="AD55" s="9"/>
    </row>
    <row r="56" spans="1:30" ht="15" customHeight="1">
      <c r="A56" s="9"/>
      <c r="B56" s="11">
        <v>2017</v>
      </c>
      <c r="C56" s="24">
        <v>0.2</v>
      </c>
      <c r="D56" s="28">
        <v>0.1</v>
      </c>
      <c r="Q56" s="9"/>
      <c r="R56" s="9"/>
      <c r="S56" s="9"/>
      <c r="AD56" s="9"/>
    </row>
    <row r="57" spans="1:30" ht="15" customHeight="1">
      <c r="A57" s="9"/>
      <c r="B57" s="11">
        <v>2018</v>
      </c>
      <c r="C57" s="24">
        <v>0.15</v>
      </c>
      <c r="D57" s="28">
        <v>0.1</v>
      </c>
      <c r="Q57" s="9"/>
      <c r="R57" s="9"/>
      <c r="S57" s="9"/>
      <c r="AD57" s="9"/>
    </row>
    <row r="58" spans="1:30" ht="15" customHeight="1">
      <c r="A58" s="9"/>
      <c r="B58" s="11">
        <v>2019</v>
      </c>
      <c r="C58" s="24">
        <v>0.22</v>
      </c>
      <c r="D58" s="28">
        <v>0.1</v>
      </c>
      <c r="Q58" s="9"/>
      <c r="R58" s="9"/>
      <c r="S58" s="9"/>
      <c r="AD58" s="9"/>
    </row>
    <row r="59" spans="1:30" ht="15.75" customHeight="1">
      <c r="A59" s="9"/>
      <c r="B59" s="11">
        <v>2020</v>
      </c>
      <c r="C59" s="24">
        <v>0.19</v>
      </c>
      <c r="D59" s="28">
        <v>0.1</v>
      </c>
      <c r="Q59" s="9"/>
      <c r="R59" s="9"/>
      <c r="S59" s="9"/>
      <c r="AD59" s="9"/>
    </row>
    <row r="60" spans="1:30" ht="15" customHeight="1">
      <c r="A60" s="9"/>
      <c r="B60" s="11">
        <v>2021</v>
      </c>
      <c r="C60" s="24">
        <v>0.126</v>
      </c>
      <c r="D60" s="28">
        <v>0.1</v>
      </c>
      <c r="Q60" s="9"/>
      <c r="R60" s="9"/>
      <c r="S60" s="9"/>
      <c r="AD60" s="9"/>
    </row>
    <row r="61" spans="1:30" ht="15.75" customHeight="1">
      <c r="A61" s="9"/>
      <c r="B61" s="11">
        <v>2022</v>
      </c>
      <c r="C61" s="24"/>
      <c r="D61" s="28"/>
      <c r="Q61" s="9"/>
      <c r="R61" s="9"/>
      <c r="S61" s="9"/>
      <c r="AD61" s="9"/>
    </row>
    <row r="62" spans="1:30" ht="15.75" customHeight="1">
      <c r="A62" s="9"/>
      <c r="B62" s="11">
        <v>2023</v>
      </c>
      <c r="C62" s="24"/>
      <c r="D62" s="28"/>
      <c r="Q62" s="9"/>
      <c r="R62" s="9"/>
      <c r="S62" s="9"/>
      <c r="AD62" s="9"/>
    </row>
    <row r="63" spans="1:30" ht="15.75" customHeight="1">
      <c r="A63" s="9"/>
      <c r="B63" s="16"/>
      <c r="C63" s="64"/>
      <c r="D63" s="63"/>
      <c r="Q63" s="9"/>
      <c r="R63" s="9"/>
      <c r="S63" s="9"/>
      <c r="AD63" s="9"/>
    </row>
    <row r="64" spans="1:30" ht="15.75" customHeight="1">
      <c r="A64" s="9"/>
      <c r="B64" s="16"/>
      <c r="C64" s="64"/>
      <c r="D64" s="63"/>
      <c r="Q64" s="9"/>
      <c r="R64" s="9"/>
      <c r="S64" s="9"/>
      <c r="AD64" s="9"/>
    </row>
    <row r="65" spans="1:30" ht="15.75" customHeight="1">
      <c r="A65" s="9"/>
      <c r="Q65" s="9"/>
      <c r="R65" s="9"/>
      <c r="S65" s="9"/>
      <c r="AD65" s="9"/>
    </row>
    <row r="66" spans="1:30" ht="15" customHeight="1">
      <c r="B66" s="23" t="s">
        <v>88</v>
      </c>
      <c r="C66" s="22" t="s">
        <v>263</v>
      </c>
      <c r="D66" s="22" t="s">
        <v>89</v>
      </c>
      <c r="E66" s="22" t="s">
        <v>296</v>
      </c>
      <c r="F66" s="22" t="s">
        <v>329</v>
      </c>
      <c r="R66" s="20"/>
    </row>
    <row r="67" spans="1:30" ht="15">
      <c r="B67" s="10" t="s">
        <v>330</v>
      </c>
      <c r="C67" s="28">
        <v>0.2</v>
      </c>
      <c r="D67" s="10" t="s">
        <v>331</v>
      </c>
      <c r="E67" s="14">
        <v>3.38</v>
      </c>
      <c r="F67" s="10" t="s">
        <v>332</v>
      </c>
      <c r="R67" s="21"/>
    </row>
    <row r="68" spans="1:30">
      <c r="B68" s="10" t="s">
        <v>93</v>
      </c>
      <c r="C68" s="28">
        <v>0.5</v>
      </c>
      <c r="D68" s="10" t="s">
        <v>68</v>
      </c>
      <c r="E68" s="14">
        <v>1.5623102879999999</v>
      </c>
      <c r="F68" s="10" t="s">
        <v>332</v>
      </c>
    </row>
    <row r="69" spans="1:30">
      <c r="B69" s="10" t="s">
        <v>94</v>
      </c>
      <c r="C69" s="28">
        <v>0.5</v>
      </c>
      <c r="D69" s="10" t="s">
        <v>331</v>
      </c>
      <c r="E69" s="14">
        <v>0.58960000000000001</v>
      </c>
      <c r="F69" s="10" t="s">
        <v>333</v>
      </c>
    </row>
    <row r="70" spans="1:30">
      <c r="B70" s="83"/>
      <c r="C70" s="63"/>
      <c r="D70" s="83"/>
      <c r="E70" s="84"/>
      <c r="F70" s="83"/>
    </row>
    <row r="71" spans="1:30" ht="15" customHeight="1">
      <c r="B71" s="83"/>
      <c r="C71" s="63"/>
      <c r="D71" s="83"/>
      <c r="E71" s="84"/>
      <c r="F71" s="83"/>
    </row>
    <row r="72" spans="1:30" ht="25.5">
      <c r="B72" s="23" t="s">
        <v>255</v>
      </c>
      <c r="C72" s="10" t="s">
        <v>173</v>
      </c>
      <c r="D72" s="23" t="s">
        <v>87</v>
      </c>
      <c r="E72" s="10" t="s">
        <v>334</v>
      </c>
      <c r="F72" s="23" t="s">
        <v>258</v>
      </c>
      <c r="G72" s="10">
        <v>2015</v>
      </c>
      <c r="H72" s="23" t="s">
        <v>259</v>
      </c>
      <c r="I72" s="219" t="s">
        <v>335</v>
      </c>
      <c r="J72" s="219"/>
      <c r="K72" s="219"/>
      <c r="L72" s="219"/>
      <c r="M72" s="219"/>
      <c r="N72" s="219"/>
    </row>
    <row r="73" spans="1:30">
      <c r="I73" s="69"/>
    </row>
    <row r="74" spans="1:30" ht="26.25" customHeight="1">
      <c r="B74" s="78" t="s">
        <v>336</v>
      </c>
      <c r="C74" s="22" t="s">
        <v>337</v>
      </c>
      <c r="D74" s="79" t="s">
        <v>89</v>
      </c>
      <c r="E74" s="22" t="s">
        <v>338</v>
      </c>
      <c r="H74" s="9"/>
      <c r="I74" s="1"/>
      <c r="J74" s="68"/>
    </row>
    <row r="75" spans="1:30">
      <c r="A75" s="9"/>
      <c r="B75" s="80" t="s">
        <v>181</v>
      </c>
      <c r="C75" s="80" t="s">
        <v>339</v>
      </c>
      <c r="D75" s="82" t="s">
        <v>340</v>
      </c>
      <c r="E75" s="81">
        <f>0.0000665794882629656*1000</f>
        <v>6.65794882629656E-2</v>
      </c>
      <c r="F75" s="28">
        <v>0.1</v>
      </c>
      <c r="G75" s="73"/>
      <c r="H75" s="72"/>
      <c r="I75" s="70"/>
      <c r="J75" s="68"/>
    </row>
    <row r="76" spans="1:30">
      <c r="A76" s="9"/>
      <c r="B76" s="80" t="s">
        <v>181</v>
      </c>
      <c r="C76" s="80" t="s">
        <v>182</v>
      </c>
      <c r="D76" s="82" t="s">
        <v>340</v>
      </c>
      <c r="E76" s="81">
        <f>0.000146721272711*1000</f>
        <v>0.14672127271099999</v>
      </c>
      <c r="F76" s="28">
        <v>0.1</v>
      </c>
      <c r="G76" s="1"/>
      <c r="H76" s="1"/>
      <c r="I76" s="70"/>
      <c r="J76" s="68"/>
    </row>
    <row r="77" spans="1:30">
      <c r="A77" s="9"/>
      <c r="B77" s="80" t="s">
        <v>341</v>
      </c>
      <c r="C77" s="80" t="s">
        <v>342</v>
      </c>
      <c r="D77" s="82" t="s">
        <v>340</v>
      </c>
      <c r="E77" s="81">
        <f>0.00170138149896*1000</f>
        <v>1.70138149896</v>
      </c>
      <c r="F77" s="28">
        <v>0.1</v>
      </c>
      <c r="G77" s="1"/>
      <c r="H77" s="1"/>
      <c r="I77" s="70"/>
      <c r="J77" s="68"/>
    </row>
    <row r="78" spans="1:30" ht="15" customHeight="1">
      <c r="A78" s="9"/>
      <c r="B78" s="80" t="s">
        <v>341</v>
      </c>
      <c r="C78" s="80" t="s">
        <v>343</v>
      </c>
      <c r="D78" s="82" t="s">
        <v>340</v>
      </c>
      <c r="E78" s="81">
        <f>0.00106860124220996*1000</f>
        <v>1.06860124220996</v>
      </c>
      <c r="F78" s="28">
        <v>0.1</v>
      </c>
      <c r="G78" s="70"/>
      <c r="H78" s="1"/>
      <c r="I78" s="70"/>
    </row>
    <row r="79" spans="1:30" ht="15" customHeight="1">
      <c r="A79" s="9"/>
      <c r="B79" s="80" t="s">
        <v>341</v>
      </c>
      <c r="C79" s="80" t="s">
        <v>344</v>
      </c>
      <c r="D79" s="82" t="s">
        <v>340</v>
      </c>
      <c r="E79" s="81">
        <f>0.000690964765504*1000</f>
        <v>0.69096476550399999</v>
      </c>
      <c r="F79" s="28">
        <v>0.1</v>
      </c>
      <c r="G79" s="70"/>
      <c r="H79" s="1"/>
      <c r="I79" s="70"/>
    </row>
    <row r="80" spans="1:30" ht="15" customHeight="1">
      <c r="A80" s="9"/>
      <c r="B80" s="80" t="s">
        <v>341</v>
      </c>
      <c r="C80" s="80" t="s">
        <v>345</v>
      </c>
      <c r="D80" s="82" t="s">
        <v>340</v>
      </c>
      <c r="E80" s="81">
        <f>0.000237466942713324*1000</f>
        <v>0.237466942713324</v>
      </c>
      <c r="F80" s="28">
        <v>0.1</v>
      </c>
      <c r="G80" s="70"/>
      <c r="H80" s="1"/>
      <c r="I80" s="71"/>
    </row>
    <row r="81" spans="1:14">
      <c r="A81" s="9"/>
      <c r="B81" s="80" t="s">
        <v>341</v>
      </c>
      <c r="C81" s="80" t="s">
        <v>346</v>
      </c>
      <c r="D81" s="82" t="s">
        <v>340</v>
      </c>
      <c r="E81" s="81">
        <f>0.000279782735384533*1000</f>
        <v>0.27978273538453302</v>
      </c>
      <c r="F81" s="28">
        <v>0.1</v>
      </c>
      <c r="G81" s="1"/>
      <c r="H81" s="1"/>
      <c r="I81" s="68"/>
    </row>
    <row r="82" spans="1:14">
      <c r="A82" s="9"/>
      <c r="B82" s="80" t="s">
        <v>341</v>
      </c>
      <c r="C82" s="80" t="s">
        <v>347</v>
      </c>
      <c r="D82" s="82" t="s">
        <v>340</v>
      </c>
      <c r="E82" s="81">
        <f>0.00012590223092304*1000</f>
        <v>0.12590223092304001</v>
      </c>
      <c r="F82" s="28">
        <v>0.1</v>
      </c>
      <c r="G82" s="1"/>
      <c r="H82" s="1"/>
      <c r="I82" s="73"/>
    </row>
    <row r="83" spans="1:14">
      <c r="B83" s="74"/>
      <c r="C83" s="74"/>
      <c r="D83" s="74"/>
      <c r="E83" s="74"/>
      <c r="F83" s="74"/>
      <c r="G83" s="12"/>
      <c r="H83" s="77"/>
      <c r="I83" s="1"/>
      <c r="J83" s="68"/>
    </row>
    <row r="84" spans="1:14" ht="15" customHeight="1">
      <c r="C84" s="67"/>
      <c r="D84" s="67"/>
      <c r="F84" s="67"/>
      <c r="I84" s="9"/>
      <c r="J84" s="1"/>
      <c r="K84" s="68"/>
    </row>
    <row r="85" spans="1:14" ht="38.25">
      <c r="A85" s="1"/>
      <c r="B85" s="23" t="s">
        <v>348</v>
      </c>
      <c r="C85" s="23" t="s">
        <v>336</v>
      </c>
      <c r="D85" s="22" t="s">
        <v>198</v>
      </c>
      <c r="E85" s="22" t="s">
        <v>89</v>
      </c>
      <c r="F85" s="22" t="s">
        <v>349</v>
      </c>
      <c r="I85" s="72"/>
      <c r="J85" s="1"/>
      <c r="K85" s="68"/>
    </row>
    <row r="86" spans="1:14" ht="15" customHeight="1">
      <c r="A86" s="1"/>
      <c r="B86" s="60" t="s">
        <v>350</v>
      </c>
      <c r="C86" s="98" t="s">
        <v>351</v>
      </c>
      <c r="D86" s="60" t="s">
        <v>352</v>
      </c>
      <c r="E86" s="82" t="s">
        <v>353</v>
      </c>
      <c r="F86" s="60">
        <v>6.2273408410706799E-4</v>
      </c>
      <c r="G86" s="68"/>
      <c r="H86" s="9"/>
      <c r="I86" s="1"/>
      <c r="J86" s="70"/>
      <c r="K86" s="68"/>
    </row>
    <row r="87" spans="1:14" ht="15" customHeight="1">
      <c r="A87" s="1"/>
      <c r="B87" s="60" t="s">
        <v>354</v>
      </c>
      <c r="C87" s="98" t="s">
        <v>351</v>
      </c>
      <c r="D87" s="60" t="s">
        <v>355</v>
      </c>
      <c r="E87" s="82" t="s">
        <v>353</v>
      </c>
      <c r="F87" s="60">
        <v>1.48338408410707E-3</v>
      </c>
      <c r="G87" s="68"/>
      <c r="H87" s="9"/>
      <c r="I87" s="70"/>
      <c r="J87" s="70"/>
      <c r="K87" s="68"/>
    </row>
    <row r="88" spans="1:14" ht="15" customHeight="1">
      <c r="A88" s="77"/>
      <c r="B88" s="77"/>
      <c r="C88" s="60" t="s">
        <v>356</v>
      </c>
      <c r="D88" s="60" t="s">
        <v>357</v>
      </c>
      <c r="E88" s="82" t="s">
        <v>353</v>
      </c>
      <c r="F88" s="60">
        <v>3.3210081681718798E-5</v>
      </c>
      <c r="G88" s="68"/>
      <c r="H88" s="9"/>
      <c r="I88" s="70"/>
      <c r="J88" s="1"/>
      <c r="K88" s="68"/>
    </row>
    <row r="89" spans="1:14">
      <c r="A89" s="9"/>
      <c r="B89" s="9"/>
      <c r="C89" s="53"/>
      <c r="D89" s="53"/>
      <c r="E89" s="97"/>
      <c r="F89" s="53"/>
      <c r="G89" s="67"/>
      <c r="H89" s="9"/>
      <c r="I89" s="1"/>
      <c r="J89" s="1"/>
      <c r="K89" s="68"/>
    </row>
    <row r="90" spans="1:14" ht="13.5" customHeight="1">
      <c r="C90" s="74"/>
      <c r="D90" s="74"/>
      <c r="E90" s="74"/>
      <c r="F90" s="74"/>
      <c r="G90" s="67"/>
      <c r="H90" s="9"/>
      <c r="I90" s="1"/>
      <c r="J90" s="1"/>
      <c r="K90" s="68"/>
    </row>
    <row r="91" spans="1:14" ht="34.5" customHeight="1">
      <c r="A91" s="1"/>
      <c r="B91" s="23" t="s">
        <v>348</v>
      </c>
      <c r="C91" s="23" t="s">
        <v>336</v>
      </c>
      <c r="D91" s="22" t="s">
        <v>198</v>
      </c>
      <c r="E91" s="22" t="s">
        <v>89</v>
      </c>
      <c r="F91" s="22" t="s">
        <v>349</v>
      </c>
      <c r="G91" s="96"/>
      <c r="H91" s="9"/>
      <c r="I91" s="1"/>
      <c r="J91" s="1"/>
      <c r="K91" s="68"/>
    </row>
    <row r="92" spans="1:14">
      <c r="A92" s="1"/>
      <c r="B92" s="108" t="s">
        <v>358</v>
      </c>
      <c r="C92" s="60" t="s">
        <v>359</v>
      </c>
      <c r="D92" s="60" t="s">
        <v>360</v>
      </c>
      <c r="E92" s="60" t="s">
        <v>353</v>
      </c>
      <c r="F92" s="60">
        <v>2.04E-4</v>
      </c>
      <c r="G92" s="68"/>
      <c r="J92" s="12"/>
    </row>
    <row r="93" spans="1:14">
      <c r="A93" s="1"/>
      <c r="B93" s="109" t="s">
        <v>361</v>
      </c>
      <c r="C93" s="60" t="s">
        <v>359</v>
      </c>
      <c r="D93" s="60" t="s">
        <v>360</v>
      </c>
      <c r="E93" s="60" t="s">
        <v>353</v>
      </c>
      <c r="F93" s="60">
        <v>2.04E-4</v>
      </c>
      <c r="G93" s="68"/>
    </row>
    <row r="94" spans="1:14">
      <c r="A94" s="12"/>
      <c r="B94" s="12"/>
      <c r="C94" s="12"/>
      <c r="D94" s="12"/>
      <c r="E94" s="12"/>
      <c r="F94" s="12"/>
    </row>
    <row r="96" spans="1:14" ht="25.5">
      <c r="B96" s="23" t="s">
        <v>255</v>
      </c>
      <c r="C96" s="10" t="s">
        <v>362</v>
      </c>
      <c r="D96" s="23" t="s">
        <v>87</v>
      </c>
      <c r="E96" s="10" t="s">
        <v>363</v>
      </c>
      <c r="F96" s="23" t="s">
        <v>258</v>
      </c>
      <c r="G96" s="10">
        <v>2022</v>
      </c>
      <c r="H96" s="23" t="s">
        <v>259</v>
      </c>
      <c r="I96" s="219"/>
      <c r="J96" s="219"/>
      <c r="K96" s="219"/>
      <c r="L96" s="219"/>
      <c r="M96" s="219"/>
      <c r="N96" s="219"/>
    </row>
    <row r="98" spans="1:10" ht="38.25">
      <c r="B98" s="23" t="s">
        <v>364</v>
      </c>
      <c r="C98" s="23" t="s">
        <v>365</v>
      </c>
      <c r="D98" s="22" t="s">
        <v>89</v>
      </c>
      <c r="E98" s="22" t="s">
        <v>366</v>
      </c>
      <c r="F98" s="22" t="s">
        <v>367</v>
      </c>
      <c r="G98" s="22" t="s">
        <v>368</v>
      </c>
    </row>
    <row r="99" spans="1:10">
      <c r="A99" s="9"/>
      <c r="B99" s="121"/>
      <c r="C99" s="98" t="s">
        <v>228</v>
      </c>
      <c r="D99" s="110" t="s">
        <v>369</v>
      </c>
      <c r="E99" s="82">
        <v>0</v>
      </c>
      <c r="F99" s="82">
        <v>5.5E-2</v>
      </c>
      <c r="G99" s="82">
        <v>0</v>
      </c>
      <c r="H99" s="68"/>
    </row>
    <row r="100" spans="1:10">
      <c r="A100" s="9"/>
      <c r="B100" s="119"/>
      <c r="C100" s="98" t="s">
        <v>370</v>
      </c>
      <c r="D100" s="110" t="s">
        <v>369</v>
      </c>
      <c r="E100" s="113">
        <v>1.041785</v>
      </c>
      <c r="F100" s="82">
        <v>0</v>
      </c>
      <c r="G100" s="82">
        <v>0</v>
      </c>
      <c r="H100" s="68"/>
    </row>
    <row r="101" spans="1:10">
      <c r="A101" s="9"/>
      <c r="B101" s="119"/>
      <c r="C101" s="98" t="s">
        <v>371</v>
      </c>
      <c r="D101" s="110" t="s">
        <v>369</v>
      </c>
      <c r="E101" s="114">
        <v>8.8830000000000003E-3</v>
      </c>
      <c r="F101" s="82">
        <v>0</v>
      </c>
      <c r="G101" s="82">
        <v>0</v>
      </c>
      <c r="H101" s="68"/>
      <c r="I101" s="123" t="s">
        <v>372</v>
      </c>
    </row>
    <row r="102" spans="1:10">
      <c r="A102" s="9"/>
      <c r="B102" s="119"/>
      <c r="C102" s="98" t="s">
        <v>373</v>
      </c>
      <c r="D102" s="110" t="s">
        <v>369</v>
      </c>
      <c r="E102" s="82">
        <v>0.44492500000000001</v>
      </c>
      <c r="F102" s="82">
        <v>0</v>
      </c>
      <c r="G102" s="82">
        <v>0</v>
      </c>
      <c r="H102" s="122"/>
      <c r="I102" s="110" t="s">
        <v>374</v>
      </c>
      <c r="J102" s="68"/>
    </row>
    <row r="103" spans="1:10">
      <c r="A103" s="9"/>
      <c r="B103" s="119"/>
      <c r="C103" s="98" t="s">
        <v>375</v>
      </c>
      <c r="D103" s="110" t="s">
        <v>369</v>
      </c>
      <c r="E103" s="114">
        <v>8.8830000000000003E-3</v>
      </c>
      <c r="F103" s="82">
        <v>0</v>
      </c>
      <c r="G103" s="82">
        <v>0</v>
      </c>
      <c r="H103" s="122"/>
      <c r="I103" s="110" t="s">
        <v>376</v>
      </c>
      <c r="J103" s="68"/>
    </row>
    <row r="104" spans="1:10">
      <c r="A104" s="9"/>
      <c r="B104" s="112" t="s">
        <v>374</v>
      </c>
      <c r="C104" s="98" t="s">
        <v>377</v>
      </c>
      <c r="D104" s="110" t="s">
        <v>369</v>
      </c>
      <c r="E104" s="114">
        <v>8.8830000000000003E-3</v>
      </c>
      <c r="F104" s="82">
        <v>0</v>
      </c>
      <c r="G104" s="82">
        <v>0</v>
      </c>
      <c r="H104" s="122"/>
      <c r="I104" s="110" t="s">
        <v>230</v>
      </c>
      <c r="J104" s="68"/>
    </row>
    <row r="105" spans="1:10">
      <c r="A105" s="9"/>
      <c r="B105" s="119"/>
      <c r="C105" s="98" t="s">
        <v>378</v>
      </c>
      <c r="D105" s="110" t="s">
        <v>369</v>
      </c>
      <c r="E105" s="114">
        <v>8.8830000000000003E-3</v>
      </c>
      <c r="F105" s="82">
        <v>0</v>
      </c>
      <c r="G105" s="82">
        <v>0</v>
      </c>
      <c r="H105" s="122"/>
      <c r="I105" s="110" t="s">
        <v>379</v>
      </c>
      <c r="J105" s="68"/>
    </row>
    <row r="106" spans="1:10">
      <c r="A106" s="9"/>
      <c r="B106" s="119"/>
      <c r="C106" s="98" t="s">
        <v>380</v>
      </c>
      <c r="D106" s="110" t="s">
        <v>369</v>
      </c>
      <c r="E106" s="114">
        <v>8.8830000000000003E-3</v>
      </c>
      <c r="F106" s="82">
        <v>0</v>
      </c>
      <c r="G106" s="82">
        <v>0</v>
      </c>
      <c r="H106" s="122"/>
      <c r="I106" s="82" t="s">
        <v>381</v>
      </c>
      <c r="J106" s="68"/>
    </row>
    <row r="107" spans="1:10">
      <c r="A107" s="9"/>
      <c r="B107" s="119"/>
      <c r="C107" s="98" t="s">
        <v>382</v>
      </c>
      <c r="D107" s="110" t="s">
        <v>369</v>
      </c>
      <c r="E107" s="113">
        <v>1.041785</v>
      </c>
      <c r="F107" s="82">
        <v>0</v>
      </c>
      <c r="G107" s="82">
        <v>0</v>
      </c>
      <c r="H107" s="68"/>
      <c r="I107" s="131" t="s">
        <v>383</v>
      </c>
    </row>
    <row r="108" spans="1:10">
      <c r="A108" s="9"/>
      <c r="B108" s="119"/>
      <c r="C108" s="98" t="s">
        <v>384</v>
      </c>
      <c r="D108" s="110" t="s">
        <v>369</v>
      </c>
      <c r="E108" s="113">
        <v>1.041785</v>
      </c>
      <c r="F108" s="82">
        <v>0</v>
      </c>
      <c r="G108" s="82">
        <v>0</v>
      </c>
      <c r="H108" s="68"/>
    </row>
    <row r="109" spans="1:10">
      <c r="A109" s="9"/>
      <c r="B109" s="110" t="s">
        <v>376</v>
      </c>
      <c r="C109" s="98" t="s">
        <v>385</v>
      </c>
      <c r="D109" s="82" t="s">
        <v>369</v>
      </c>
      <c r="E109" s="125">
        <v>0</v>
      </c>
      <c r="F109" s="82">
        <v>0.03</v>
      </c>
      <c r="G109" s="82">
        <v>0</v>
      </c>
      <c r="H109" s="68"/>
    </row>
    <row r="110" spans="1:10">
      <c r="A110" s="9"/>
      <c r="B110" s="119"/>
      <c r="C110" s="98" t="s">
        <v>386</v>
      </c>
      <c r="D110" s="82" t="s">
        <v>369</v>
      </c>
      <c r="E110" s="82">
        <v>0.23</v>
      </c>
      <c r="F110" s="82">
        <v>0</v>
      </c>
      <c r="G110" s="82">
        <v>0</v>
      </c>
      <c r="H110" s="68"/>
    </row>
    <row r="111" spans="1:10">
      <c r="A111" s="9"/>
      <c r="B111" s="119"/>
      <c r="C111" s="98" t="s">
        <v>387</v>
      </c>
      <c r="D111" s="82" t="s">
        <v>369</v>
      </c>
      <c r="E111" s="82">
        <v>1.38</v>
      </c>
      <c r="F111" s="82">
        <v>7.0000000000000001E-3</v>
      </c>
      <c r="G111" s="82">
        <v>0</v>
      </c>
      <c r="H111" s="68"/>
    </row>
    <row r="112" spans="1:10">
      <c r="A112" s="9"/>
      <c r="B112" s="119"/>
      <c r="C112" s="98" t="s">
        <v>388</v>
      </c>
      <c r="D112" s="82" t="s">
        <v>369</v>
      </c>
      <c r="E112" s="82">
        <v>2.1280199999999999E-2</v>
      </c>
      <c r="F112" s="82">
        <v>0</v>
      </c>
      <c r="G112" s="82">
        <v>0</v>
      </c>
      <c r="H112" s="68"/>
    </row>
    <row r="113" spans="1:8">
      <c r="A113" s="9"/>
      <c r="B113" s="119"/>
      <c r="C113" s="98" t="s">
        <v>389</v>
      </c>
      <c r="D113" s="82" t="s">
        <v>369</v>
      </c>
      <c r="E113" s="82">
        <v>2.1280199999999999E-2</v>
      </c>
      <c r="F113" s="82">
        <v>0</v>
      </c>
      <c r="G113" s="82">
        <v>0</v>
      </c>
      <c r="H113" s="68"/>
    </row>
    <row r="114" spans="1:8">
      <c r="A114" s="9"/>
      <c r="B114" s="119"/>
      <c r="C114" s="98" t="s">
        <v>390</v>
      </c>
      <c r="D114" s="82" t="s">
        <v>369</v>
      </c>
      <c r="E114" s="82">
        <v>2.1280199999999999E-2</v>
      </c>
      <c r="F114" s="82">
        <v>0</v>
      </c>
      <c r="G114" s="82">
        <v>0</v>
      </c>
      <c r="H114" s="68"/>
    </row>
    <row r="115" spans="1:8">
      <c r="A115" s="9"/>
      <c r="B115" s="119"/>
      <c r="C115" s="98" t="s">
        <v>391</v>
      </c>
      <c r="D115" s="82" t="s">
        <v>369</v>
      </c>
      <c r="E115" s="82">
        <v>2.1280199999999999E-2</v>
      </c>
      <c r="F115" s="82">
        <v>0</v>
      </c>
      <c r="G115" s="82">
        <v>0</v>
      </c>
      <c r="H115" s="68"/>
    </row>
    <row r="116" spans="1:8">
      <c r="A116" s="9"/>
      <c r="B116" s="112" t="s">
        <v>230</v>
      </c>
      <c r="C116" s="98" t="s">
        <v>392</v>
      </c>
      <c r="D116" s="82" t="s">
        <v>369</v>
      </c>
      <c r="E116" s="82">
        <v>2.1280199999999999E-2</v>
      </c>
      <c r="F116" s="82">
        <v>0</v>
      </c>
      <c r="G116" s="82">
        <v>0</v>
      </c>
      <c r="H116" s="68"/>
    </row>
    <row r="117" spans="1:8">
      <c r="A117" s="9"/>
      <c r="B117" s="119"/>
      <c r="C117" s="98" t="s">
        <v>393</v>
      </c>
      <c r="D117" s="82" t="s">
        <v>369</v>
      </c>
      <c r="E117" s="82">
        <v>2.1280199999999999E-2</v>
      </c>
      <c r="F117" s="82">
        <v>0</v>
      </c>
      <c r="G117" s="82">
        <v>0</v>
      </c>
      <c r="H117" s="68"/>
    </row>
    <row r="118" spans="1:8">
      <c r="A118" s="9"/>
      <c r="B118" s="119"/>
      <c r="C118" s="98" t="s">
        <v>394</v>
      </c>
      <c r="D118" s="82" t="s">
        <v>369</v>
      </c>
      <c r="E118" s="82">
        <v>2.1280199999999999E-2</v>
      </c>
      <c r="F118" s="82">
        <v>0</v>
      </c>
      <c r="G118" s="82">
        <v>0</v>
      </c>
      <c r="H118" s="68"/>
    </row>
    <row r="119" spans="1:8">
      <c r="A119" s="9"/>
      <c r="B119" s="119"/>
      <c r="C119" s="98" t="s">
        <v>395</v>
      </c>
      <c r="D119" s="82" t="s">
        <v>369</v>
      </c>
      <c r="E119" s="82">
        <v>2.1280199999999999E-2</v>
      </c>
      <c r="F119" s="82">
        <v>0</v>
      </c>
      <c r="G119" s="82">
        <v>0</v>
      </c>
      <c r="H119" s="68"/>
    </row>
    <row r="120" spans="1:8">
      <c r="A120" s="9"/>
      <c r="B120" s="119"/>
      <c r="C120" s="98" t="s">
        <v>396</v>
      </c>
      <c r="D120" s="82" t="s">
        <v>369</v>
      </c>
      <c r="E120" s="82">
        <v>2.1280199999999999E-2</v>
      </c>
      <c r="F120" s="82">
        <v>0</v>
      </c>
      <c r="G120" s="82">
        <v>0</v>
      </c>
      <c r="H120" s="68"/>
    </row>
    <row r="121" spans="1:8">
      <c r="A121" s="9"/>
      <c r="B121" s="120"/>
      <c r="C121" s="98" t="s">
        <v>231</v>
      </c>
      <c r="D121" s="82" t="s">
        <v>369</v>
      </c>
      <c r="E121" s="82">
        <v>0.56999999999999995</v>
      </c>
      <c r="F121" s="82">
        <v>0</v>
      </c>
      <c r="G121" s="82">
        <v>0</v>
      </c>
      <c r="H121" s="68"/>
    </row>
    <row r="122" spans="1:8">
      <c r="A122" s="9"/>
      <c r="B122" s="111" t="s">
        <v>379</v>
      </c>
      <c r="C122" s="60" t="s">
        <v>397</v>
      </c>
      <c r="D122" s="110" t="s">
        <v>369</v>
      </c>
      <c r="E122" s="110">
        <v>0</v>
      </c>
      <c r="F122" s="110">
        <v>0.01</v>
      </c>
      <c r="G122" s="110">
        <v>1E-3</v>
      </c>
      <c r="H122" s="68"/>
    </row>
    <row r="123" spans="1:8">
      <c r="A123" s="9"/>
      <c r="B123" s="120"/>
      <c r="C123" s="60" t="s">
        <v>398</v>
      </c>
      <c r="D123" s="110" t="s">
        <v>369</v>
      </c>
      <c r="E123" s="110">
        <v>0</v>
      </c>
      <c r="F123" s="110">
        <v>4.0000000000000001E-3</v>
      </c>
      <c r="G123" s="110">
        <v>0</v>
      </c>
      <c r="H123" s="96"/>
    </row>
    <row r="124" spans="1:8">
      <c r="A124" s="9"/>
      <c r="B124" s="115" t="s">
        <v>381</v>
      </c>
      <c r="C124" s="60" t="s">
        <v>399</v>
      </c>
      <c r="D124" s="110" t="s">
        <v>369</v>
      </c>
      <c r="E124" s="82">
        <v>0</v>
      </c>
      <c r="F124" s="82">
        <v>2E-3</v>
      </c>
      <c r="G124" s="82">
        <v>0</v>
      </c>
      <c r="H124" s="96"/>
    </row>
    <row r="125" spans="1:8">
      <c r="A125" s="9"/>
      <c r="B125" s="129"/>
      <c r="C125" s="130" t="s">
        <v>400</v>
      </c>
      <c r="D125" s="111" t="s">
        <v>369</v>
      </c>
      <c r="E125" s="115">
        <v>0</v>
      </c>
      <c r="F125" s="115">
        <v>1E-3</v>
      </c>
      <c r="G125" s="115">
        <v>0</v>
      </c>
      <c r="H125" s="96"/>
    </row>
    <row r="126" spans="1:8">
      <c r="A126" s="9"/>
      <c r="B126" s="82" t="s">
        <v>383</v>
      </c>
      <c r="C126" s="60" t="s">
        <v>401</v>
      </c>
      <c r="D126" s="82" t="s">
        <v>369</v>
      </c>
      <c r="E126" s="82">
        <v>0.14000000000000001</v>
      </c>
      <c r="F126" s="82">
        <v>0</v>
      </c>
      <c r="G126" s="82">
        <v>0</v>
      </c>
      <c r="H126" s="96"/>
    </row>
    <row r="127" spans="1:8">
      <c r="B127" s="74"/>
      <c r="C127" s="74"/>
      <c r="D127" s="74"/>
      <c r="E127" s="74"/>
      <c r="F127" s="74"/>
      <c r="G127" s="74"/>
      <c r="H127" s="67"/>
    </row>
    <row r="128" spans="1:8">
      <c r="B128" s="67"/>
      <c r="C128" s="67"/>
      <c r="D128" s="67"/>
      <c r="E128" s="67"/>
      <c r="F128" s="67"/>
      <c r="G128" s="67"/>
      <c r="H128" s="67"/>
    </row>
    <row r="129" spans="2:8" ht="21">
      <c r="B129" s="222" t="s">
        <v>402</v>
      </c>
      <c r="C129" s="132" t="s">
        <v>403</v>
      </c>
      <c r="D129" s="132" t="s">
        <v>38</v>
      </c>
      <c r="F129" s="222" t="s">
        <v>404</v>
      </c>
      <c r="G129" s="132" t="s">
        <v>403</v>
      </c>
      <c r="H129" s="132" t="s">
        <v>38</v>
      </c>
    </row>
    <row r="130" spans="2:8" ht="42">
      <c r="B130" s="223"/>
      <c r="C130" s="133" t="s">
        <v>405</v>
      </c>
      <c r="D130" s="133"/>
      <c r="F130" s="223"/>
      <c r="G130" s="133" t="s">
        <v>406</v>
      </c>
      <c r="H130" s="133"/>
    </row>
    <row r="131" spans="2:8" ht="51">
      <c r="B131" s="10" t="s">
        <v>407</v>
      </c>
      <c r="C131" s="14">
        <v>0.06</v>
      </c>
      <c r="D131" s="28">
        <v>0.57999999999999996</v>
      </c>
      <c r="F131" s="10" t="s">
        <v>168</v>
      </c>
      <c r="G131" s="14">
        <v>0</v>
      </c>
      <c r="H131" s="28">
        <v>0.3</v>
      </c>
    </row>
    <row r="132" spans="2:8" ht="38.25">
      <c r="B132" s="10" t="s">
        <v>408</v>
      </c>
      <c r="C132" s="14">
        <v>0.3</v>
      </c>
      <c r="D132" s="28">
        <v>0.57999999999999996</v>
      </c>
      <c r="F132" s="10" t="s">
        <v>409</v>
      </c>
      <c r="G132" s="14">
        <v>0.08</v>
      </c>
      <c r="H132" s="28">
        <v>0.45</v>
      </c>
    </row>
    <row r="133" spans="2:8" ht="25.5">
      <c r="B133" s="10" t="s">
        <v>410</v>
      </c>
      <c r="C133" s="14">
        <v>0</v>
      </c>
      <c r="D133" s="28">
        <v>0.57999999999999996</v>
      </c>
      <c r="F133" s="10" t="s">
        <v>411</v>
      </c>
      <c r="G133" s="14">
        <v>0.2</v>
      </c>
      <c r="H133" s="28">
        <v>0.39</v>
      </c>
    </row>
    <row r="134" spans="2:8" ht="63.75">
      <c r="B134" s="10" t="s">
        <v>168</v>
      </c>
      <c r="C134" s="14">
        <v>0</v>
      </c>
      <c r="D134" s="28">
        <v>0.32</v>
      </c>
      <c r="F134" s="10" t="s">
        <v>412</v>
      </c>
      <c r="G134" s="14">
        <v>0.05</v>
      </c>
      <c r="H134" s="28">
        <v>0.57999999999999996</v>
      </c>
    </row>
    <row r="135" spans="2:8" ht="51">
      <c r="B135" s="10" t="s">
        <v>409</v>
      </c>
      <c r="C135" s="14">
        <v>0.18</v>
      </c>
      <c r="D135" s="28">
        <v>0.42</v>
      </c>
      <c r="F135" s="10" t="s">
        <v>413</v>
      </c>
      <c r="G135" s="14">
        <v>0.2</v>
      </c>
      <c r="H135" s="28">
        <v>0.39</v>
      </c>
    </row>
    <row r="136" spans="2:8" ht="38.25">
      <c r="B136" s="10" t="s">
        <v>411</v>
      </c>
      <c r="C136" s="14">
        <v>0.48</v>
      </c>
      <c r="D136" s="28">
        <v>0.32</v>
      </c>
      <c r="F136" s="10" t="s">
        <v>407</v>
      </c>
      <c r="G136" s="14">
        <v>0.03</v>
      </c>
      <c r="H136" s="28">
        <v>1.04</v>
      </c>
    </row>
    <row r="137" spans="2:8" ht="25.5">
      <c r="B137" s="10" t="s">
        <v>412</v>
      </c>
      <c r="C137" s="14">
        <v>0.12</v>
      </c>
      <c r="D137" s="28">
        <v>0.42</v>
      </c>
    </row>
    <row r="138" spans="2:8" ht="25.5">
      <c r="B138" s="10" t="s">
        <v>413</v>
      </c>
      <c r="C138" s="14">
        <v>0.48</v>
      </c>
      <c r="D138" s="28">
        <v>0.42</v>
      </c>
    </row>
    <row r="139" spans="2:8">
      <c r="B139" s="10" t="s">
        <v>414</v>
      </c>
      <c r="C139" s="14">
        <v>0.3</v>
      </c>
      <c r="D139" s="28">
        <v>0.3</v>
      </c>
    </row>
    <row r="141" spans="2:8">
      <c r="B141" s="67"/>
      <c r="C141" s="67"/>
      <c r="D141" s="67"/>
      <c r="E141" s="67"/>
      <c r="F141" s="67"/>
      <c r="G141" s="67"/>
      <c r="H141" s="67"/>
    </row>
    <row r="142" spans="2:8">
      <c r="B142" s="67"/>
      <c r="C142" s="67"/>
      <c r="D142" s="67"/>
      <c r="E142" s="67"/>
      <c r="F142" s="67"/>
      <c r="G142" s="67"/>
      <c r="H142" s="67"/>
    </row>
    <row r="143" spans="2:8">
      <c r="B143" s="67"/>
      <c r="C143" s="67"/>
      <c r="D143" s="67"/>
      <c r="E143" s="67"/>
      <c r="F143" s="67"/>
      <c r="G143" s="67"/>
      <c r="H143" s="67"/>
    </row>
    <row r="144" spans="2:8">
      <c r="B144" s="67"/>
      <c r="C144" s="67"/>
      <c r="D144" s="67"/>
      <c r="E144" s="67"/>
      <c r="F144" s="67"/>
      <c r="G144" s="67"/>
      <c r="H144" s="67"/>
    </row>
    <row r="145" spans="2:8">
      <c r="B145" s="67"/>
      <c r="C145" s="67"/>
      <c r="D145" s="67"/>
      <c r="E145" s="67"/>
      <c r="F145" s="67"/>
      <c r="G145" s="67"/>
      <c r="H145" s="67"/>
    </row>
    <row r="146" spans="2:8">
      <c r="B146" s="67"/>
      <c r="C146" s="67"/>
      <c r="D146" s="67"/>
      <c r="E146" s="67"/>
      <c r="F146" s="67"/>
      <c r="G146" s="67"/>
      <c r="H146" s="67"/>
    </row>
    <row r="147" spans="2:8">
      <c r="B147" s="67"/>
      <c r="C147" s="67"/>
      <c r="D147" s="67"/>
      <c r="E147" s="67"/>
      <c r="F147" s="67"/>
      <c r="G147" s="67"/>
      <c r="H147" s="67"/>
    </row>
    <row r="148" spans="2:8">
      <c r="B148" s="67"/>
      <c r="C148" s="67"/>
      <c r="D148" s="67"/>
      <c r="E148" s="67"/>
      <c r="F148" s="67"/>
      <c r="G148" s="67"/>
      <c r="H148" s="67"/>
    </row>
    <row r="149" spans="2:8">
      <c r="B149" s="67"/>
      <c r="C149" s="67"/>
      <c r="D149" s="67"/>
      <c r="E149" s="67"/>
      <c r="F149" s="67"/>
      <c r="G149" s="67"/>
      <c r="H149" s="67"/>
    </row>
    <row r="150" spans="2:8">
      <c r="B150" s="67"/>
      <c r="C150" s="67"/>
      <c r="D150" s="67"/>
      <c r="E150" s="67"/>
      <c r="F150" s="67"/>
      <c r="G150" s="67"/>
      <c r="H150" s="67"/>
    </row>
    <row r="151" spans="2:8">
      <c r="B151" s="67"/>
      <c r="C151" s="67"/>
      <c r="D151" s="67"/>
      <c r="E151" s="67"/>
      <c r="F151" s="67"/>
      <c r="G151" s="67"/>
      <c r="H151" s="67"/>
    </row>
    <row r="152" spans="2:8">
      <c r="B152" s="67"/>
      <c r="C152" s="67"/>
      <c r="D152" s="67"/>
      <c r="E152" s="67"/>
      <c r="F152" s="67"/>
      <c r="G152" s="67"/>
      <c r="H152" s="67"/>
    </row>
    <row r="153" spans="2:8">
      <c r="B153" s="67"/>
      <c r="C153" s="67"/>
      <c r="D153" s="67"/>
      <c r="E153" s="67"/>
      <c r="F153" s="67"/>
      <c r="G153" s="67"/>
      <c r="H153" s="67"/>
    </row>
    <row r="154" spans="2:8">
      <c r="B154" s="67"/>
      <c r="C154" s="67"/>
      <c r="D154" s="67"/>
      <c r="E154" s="67"/>
      <c r="F154" s="67"/>
      <c r="G154" s="67"/>
      <c r="H154" s="67"/>
    </row>
    <row r="155" spans="2:8">
      <c r="B155" s="67"/>
      <c r="C155" s="67"/>
      <c r="D155" s="67"/>
      <c r="E155" s="67"/>
      <c r="F155" s="67"/>
      <c r="G155" s="67"/>
      <c r="H155" s="67"/>
    </row>
    <row r="156" spans="2:8">
      <c r="B156" s="67"/>
      <c r="H156" s="67"/>
    </row>
  </sheetData>
  <mergeCells count="11">
    <mergeCell ref="B129:B130"/>
    <mergeCell ref="F129:F130"/>
    <mergeCell ref="O8:P8"/>
    <mergeCell ref="M23:N23"/>
    <mergeCell ref="O23:P23"/>
    <mergeCell ref="I72:N72"/>
    <mergeCell ref="D2:L3"/>
    <mergeCell ref="I6:N6"/>
    <mergeCell ref="I45:N45"/>
    <mergeCell ref="M8:N8"/>
    <mergeCell ref="I96:N96"/>
  </mergeCells>
  <phoneticPr fontId="4" type="noConversion"/>
  <dataValidations count="1">
    <dataValidation type="list" allowBlank="1" showInputMessage="1" showErrorMessage="1" sqref="B68:B71" xr:uid="{D31AFF71-4993-45B8-B6A4-E49B0AD4F731}">
      <formula1>$CV$479:$CV$480</formula1>
    </dataValidation>
  </dataValidations>
  <hyperlinks>
    <hyperlink ref="I6" r:id="rId1" xr:uid="{0D95B500-B13D-47A7-853F-790BCA4EC96A}"/>
    <hyperlink ref="I45" r:id="rId2" xr:uid="{B124E124-890A-4EF5-AC72-09A56A15E8C4}"/>
    <hyperlink ref="I72" r:id="rId3" xr:uid="{E649BC54-6453-4283-909C-2DFE6357E6A5}"/>
  </hyperlinks>
  <pageMargins left="0.7" right="0.7" top="0.75" bottom="0.75" header="0.3" footer="0.3"/>
  <pageSetup paperSize="9" orientation="portrait" horizontalDpi="360" verticalDpi="360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DC6C5-ED90-4245-AB9C-17E799D20E51}">
  <dimension ref="A1:P35"/>
  <sheetViews>
    <sheetView topLeftCell="A13" workbookViewId="0">
      <selection activeCell="M17" sqref="M17"/>
    </sheetView>
  </sheetViews>
  <sheetFormatPr defaultColWidth="11.42578125" defaultRowHeight="14.25"/>
  <cols>
    <col min="1" max="1" width="3.28515625" style="1" customWidth="1"/>
    <col min="2" max="2" width="3.5703125" style="1" customWidth="1"/>
    <col min="3" max="3" width="11.140625" style="1" customWidth="1"/>
    <col min="4" max="4" width="11.42578125" style="1"/>
    <col min="5" max="5" width="12.140625" style="1" bestFit="1" customWidth="1"/>
    <col min="6" max="9" width="11.42578125" style="1"/>
    <col min="10" max="10" width="11" style="1" bestFit="1" customWidth="1"/>
    <col min="11" max="11" width="11.42578125" style="1"/>
    <col min="12" max="12" width="39.42578125" style="1" bestFit="1" customWidth="1"/>
    <col min="13" max="13" width="11.42578125" style="1"/>
    <col min="14" max="14" width="13.5703125" style="1" customWidth="1"/>
    <col min="15" max="15" width="40.28515625" style="1" customWidth="1"/>
    <col min="16" max="18" width="11.42578125" style="1"/>
    <col min="19" max="19" width="16.7109375" style="1" customWidth="1"/>
    <col min="20" max="16384" width="11.42578125" style="1"/>
  </cols>
  <sheetData>
    <row r="1" spans="1:16" s="16" customFormat="1" ht="12.75"/>
    <row r="2" spans="1:16" s="43" customFormat="1" ht="12.75">
      <c r="C2" s="16"/>
      <c r="D2" s="194" t="s">
        <v>0</v>
      </c>
      <c r="E2" s="194"/>
      <c r="F2" s="194"/>
      <c r="G2" s="194"/>
      <c r="H2" s="194"/>
      <c r="I2" s="194"/>
      <c r="J2" s="194"/>
      <c r="K2" s="194"/>
      <c r="L2" s="194"/>
    </row>
    <row r="3" spans="1:16" s="43" customFormat="1" ht="12.75">
      <c r="C3" s="16"/>
      <c r="D3" s="194"/>
      <c r="E3" s="194"/>
      <c r="F3" s="194"/>
      <c r="G3" s="194"/>
      <c r="H3" s="194"/>
      <c r="I3" s="194"/>
      <c r="J3" s="194"/>
      <c r="K3" s="194"/>
      <c r="L3" s="194"/>
    </row>
    <row r="4" spans="1:16" s="16" customFormat="1" ht="12.75"/>
    <row r="5" spans="1:16" s="16" customFormat="1" ht="12.75"/>
    <row r="6" spans="1:16">
      <c r="A6" s="53"/>
      <c r="B6" s="53"/>
      <c r="C6" s="197" t="s">
        <v>415</v>
      </c>
      <c r="D6" s="197"/>
      <c r="E6" s="197"/>
      <c r="F6" s="53"/>
      <c r="G6" s="224" t="s">
        <v>110</v>
      </c>
      <c r="H6" s="217"/>
      <c r="I6" s="217"/>
      <c r="J6" s="217"/>
      <c r="K6" s="53"/>
      <c r="L6" s="224" t="s">
        <v>134</v>
      </c>
      <c r="M6" s="217"/>
      <c r="N6" s="217"/>
      <c r="O6" s="217"/>
    </row>
    <row r="7" spans="1:16" ht="25.5">
      <c r="A7" s="53"/>
      <c r="B7" s="53"/>
      <c r="C7" s="2" t="s">
        <v>416</v>
      </c>
      <c r="D7" s="2" t="s">
        <v>113</v>
      </c>
      <c r="E7" s="2" t="s">
        <v>87</v>
      </c>
      <c r="F7" s="53"/>
      <c r="G7" s="2" t="s">
        <v>416</v>
      </c>
      <c r="H7" s="2" t="s">
        <v>113</v>
      </c>
      <c r="I7" s="2" t="s">
        <v>87</v>
      </c>
      <c r="J7" s="4" t="s">
        <v>38</v>
      </c>
      <c r="K7" s="53"/>
      <c r="L7" s="4" t="s">
        <v>416</v>
      </c>
      <c r="M7" s="4" t="s">
        <v>113</v>
      </c>
      <c r="N7" s="4" t="s">
        <v>38</v>
      </c>
      <c r="O7" s="4" t="s">
        <v>87</v>
      </c>
    </row>
    <row r="8" spans="1:16" ht="12.75" customHeight="1">
      <c r="A8" s="53"/>
      <c r="B8" s="53"/>
      <c r="C8" s="54" t="s">
        <v>115</v>
      </c>
      <c r="D8" s="55">
        <v>1</v>
      </c>
      <c r="E8" s="54" t="s">
        <v>417</v>
      </c>
      <c r="F8" s="53"/>
      <c r="G8" s="54" t="s">
        <v>115</v>
      </c>
      <c r="H8" s="55">
        <v>1</v>
      </c>
      <c r="I8" s="56" t="s">
        <v>417</v>
      </c>
      <c r="J8" s="57">
        <v>0.5</v>
      </c>
      <c r="K8" s="53"/>
      <c r="L8" s="60" t="s">
        <v>418</v>
      </c>
      <c r="M8" s="135">
        <v>14600</v>
      </c>
      <c r="N8" s="61">
        <v>0.5</v>
      </c>
      <c r="O8" s="62" t="s">
        <v>419</v>
      </c>
    </row>
    <row r="9" spans="1:16" ht="12.75" customHeight="1">
      <c r="A9" s="53"/>
      <c r="B9" s="53"/>
      <c r="C9" s="54" t="s">
        <v>420</v>
      </c>
      <c r="D9" s="55">
        <v>29.8</v>
      </c>
      <c r="E9" s="54" t="s">
        <v>417</v>
      </c>
      <c r="F9" s="53"/>
      <c r="G9" s="54" t="s">
        <v>421</v>
      </c>
      <c r="H9" s="136">
        <v>90.4</v>
      </c>
      <c r="I9" s="56" t="s">
        <v>417</v>
      </c>
      <c r="J9" s="57">
        <v>0.5</v>
      </c>
      <c r="K9" s="53"/>
      <c r="L9" s="60" t="s">
        <v>422</v>
      </c>
      <c r="M9" s="135">
        <v>771</v>
      </c>
      <c r="N9" s="61">
        <v>0.5</v>
      </c>
      <c r="O9" s="62" t="s">
        <v>419</v>
      </c>
    </row>
    <row r="10" spans="1:16" ht="12.75" customHeight="1">
      <c r="A10" s="53"/>
      <c r="B10" s="53"/>
      <c r="C10" s="54" t="s">
        <v>423</v>
      </c>
      <c r="D10" s="136">
        <v>27.9</v>
      </c>
      <c r="E10" s="54" t="s">
        <v>417</v>
      </c>
      <c r="F10" s="53"/>
      <c r="G10" s="53"/>
      <c r="H10" s="53"/>
      <c r="I10" s="53"/>
      <c r="J10" s="53"/>
      <c r="K10" s="53"/>
      <c r="L10" s="60" t="s">
        <v>424</v>
      </c>
      <c r="M10" s="135">
        <v>3740</v>
      </c>
      <c r="N10" s="61">
        <v>0.5</v>
      </c>
      <c r="O10" s="62" t="s">
        <v>419</v>
      </c>
    </row>
    <row r="11" spans="1:16" ht="12.75" customHeight="1">
      <c r="A11" s="53"/>
      <c r="B11" s="53"/>
      <c r="C11" s="54" t="s">
        <v>425</v>
      </c>
      <c r="D11" s="55">
        <v>273</v>
      </c>
      <c r="E11" s="54" t="s">
        <v>417</v>
      </c>
      <c r="F11" s="53"/>
      <c r="G11" s="53"/>
      <c r="H11" s="53"/>
      <c r="I11" s="53"/>
      <c r="J11" s="53"/>
      <c r="K11" s="53"/>
      <c r="L11" s="60" t="s">
        <v>426</v>
      </c>
      <c r="M11" s="135">
        <v>1260</v>
      </c>
      <c r="N11" s="61">
        <v>0.5</v>
      </c>
      <c r="O11" s="62" t="s">
        <v>419</v>
      </c>
    </row>
    <row r="12" spans="1:16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0" t="s">
        <v>427</v>
      </c>
      <c r="M12" s="135">
        <v>1530</v>
      </c>
      <c r="N12" s="61">
        <v>0.5</v>
      </c>
      <c r="O12" s="62" t="s">
        <v>419</v>
      </c>
    </row>
    <row r="13" spans="1:16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0" t="s">
        <v>428</v>
      </c>
      <c r="M13" s="135">
        <v>364</v>
      </c>
      <c r="N13" s="61">
        <v>0.5</v>
      </c>
      <c r="O13" s="62" t="s">
        <v>419</v>
      </c>
    </row>
    <row r="14" spans="1:16" ht="12.75" customHeight="1">
      <c r="A14" s="53"/>
      <c r="B14" s="53"/>
      <c r="C14" s="137" t="s">
        <v>429</v>
      </c>
      <c r="D14" s="53"/>
      <c r="E14" s="53"/>
      <c r="F14" s="53"/>
      <c r="G14" s="53"/>
      <c r="H14" s="53"/>
      <c r="I14" s="53"/>
      <c r="J14" s="53"/>
      <c r="K14" s="53"/>
      <c r="L14" s="60" t="s">
        <v>430</v>
      </c>
      <c r="M14" s="135">
        <v>5810</v>
      </c>
      <c r="N14" s="61">
        <v>0.5</v>
      </c>
      <c r="O14" s="62" t="s">
        <v>419</v>
      </c>
    </row>
    <row r="15" spans="1:16" ht="12.75" customHeight="1">
      <c r="A15" s="53"/>
      <c r="B15" s="53"/>
      <c r="C15" s="58" t="s">
        <v>431</v>
      </c>
      <c r="D15" s="53"/>
      <c r="E15" s="53"/>
      <c r="F15" s="53"/>
      <c r="G15" s="53"/>
      <c r="H15" s="53"/>
      <c r="I15" s="53"/>
      <c r="J15" s="53"/>
      <c r="K15" s="53"/>
      <c r="L15" s="60" t="s">
        <v>432</v>
      </c>
      <c r="M15" s="138">
        <f>P15</f>
        <v>4728</v>
      </c>
      <c r="N15" s="61">
        <v>0.5</v>
      </c>
      <c r="O15" s="62" t="s">
        <v>433</v>
      </c>
      <c r="P15" s="139">
        <f>M12*0.04+M10*0.44+M14*0.52</f>
        <v>4728</v>
      </c>
    </row>
    <row r="16" spans="1:16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60" t="s">
        <v>434</v>
      </c>
      <c r="M16" s="60">
        <v>1624.21</v>
      </c>
      <c r="N16" s="61">
        <v>0.5</v>
      </c>
      <c r="O16" s="62" t="s">
        <v>435</v>
      </c>
    </row>
    <row r="17" spans="1:16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60" t="s">
        <v>122</v>
      </c>
      <c r="M17" s="138">
        <f>P17</f>
        <v>2255.5</v>
      </c>
      <c r="N17" s="61">
        <v>0.5</v>
      </c>
      <c r="O17" s="62" t="s">
        <v>436</v>
      </c>
      <c r="P17" s="139">
        <f>M10*0.5+M9*0.5</f>
        <v>2255.5</v>
      </c>
    </row>
    <row r="18" spans="1:16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60" t="s">
        <v>437</v>
      </c>
      <c r="M18" s="60">
        <v>1945.03</v>
      </c>
      <c r="N18" s="61">
        <v>0.5</v>
      </c>
      <c r="O18" s="62" t="s">
        <v>438</v>
      </c>
      <c r="P18" s="139"/>
    </row>
    <row r="19" spans="1:16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60" t="s">
        <v>439</v>
      </c>
      <c r="M19" s="138">
        <f>P19</f>
        <v>2916.7240000000002</v>
      </c>
      <c r="N19" s="61">
        <v>0.5</v>
      </c>
      <c r="O19" s="62" t="s">
        <v>440</v>
      </c>
      <c r="P19" s="139">
        <f>M10*0.651+M12*0.315+M25*0.034</f>
        <v>2916.7240000000002</v>
      </c>
    </row>
    <row r="20" spans="1:16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60" t="s">
        <v>441</v>
      </c>
      <c r="M20" s="60">
        <v>3985</v>
      </c>
      <c r="N20" s="61">
        <v>0.5</v>
      </c>
      <c r="O20" s="62" t="s">
        <v>442</v>
      </c>
    </row>
    <row r="21" spans="1:16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60" t="s">
        <v>443</v>
      </c>
      <c r="M21" s="135">
        <v>7380</v>
      </c>
      <c r="N21" s="61">
        <v>0.5</v>
      </c>
      <c r="O21" s="62" t="s">
        <v>419</v>
      </c>
    </row>
    <row r="22" spans="1:16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60" t="s">
        <v>444</v>
      </c>
      <c r="M22" s="135">
        <v>9290</v>
      </c>
      <c r="N22" s="61">
        <v>0.5</v>
      </c>
      <c r="O22" s="62" t="s">
        <v>419</v>
      </c>
    </row>
    <row r="23" spans="1:16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0" t="s">
        <v>445</v>
      </c>
      <c r="M23" s="60">
        <v>182</v>
      </c>
      <c r="N23" s="61">
        <v>0.5</v>
      </c>
      <c r="O23" s="62" t="s">
        <v>446</v>
      </c>
    </row>
    <row r="24" spans="1:16" ht="12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60" t="s">
        <v>447</v>
      </c>
      <c r="M24" s="60">
        <v>3</v>
      </c>
      <c r="N24" s="61">
        <v>0.5</v>
      </c>
      <c r="O24" s="62" t="s">
        <v>448</v>
      </c>
    </row>
    <row r="25" spans="1:16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60" t="s">
        <v>449</v>
      </c>
      <c r="M25" s="60">
        <v>1</v>
      </c>
      <c r="N25" s="61">
        <v>0.5</v>
      </c>
      <c r="O25" s="62" t="s">
        <v>448</v>
      </c>
    </row>
    <row r="26" spans="1:16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60" t="s">
        <v>450</v>
      </c>
      <c r="M26" s="60">
        <v>6290</v>
      </c>
      <c r="N26" s="61">
        <v>0.5</v>
      </c>
      <c r="O26" s="62" t="s">
        <v>446</v>
      </c>
    </row>
    <row r="27" spans="1:16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0" t="s">
        <v>124</v>
      </c>
      <c r="M27" s="138">
        <v>1960</v>
      </c>
      <c r="N27" s="61">
        <v>0.5</v>
      </c>
      <c r="O27" s="62" t="s">
        <v>419</v>
      </c>
    </row>
    <row r="28" spans="1:16">
      <c r="L28" s="60" t="s">
        <v>451</v>
      </c>
      <c r="M28" s="135">
        <v>24300</v>
      </c>
      <c r="N28" s="61">
        <v>50</v>
      </c>
      <c r="O28" s="62" t="s">
        <v>446</v>
      </c>
    </row>
    <row r="29" spans="1:16">
      <c r="L29" s="60"/>
      <c r="M29" s="60"/>
      <c r="N29" s="61"/>
      <c r="O29" s="62"/>
    </row>
    <row r="30" spans="1:16">
      <c r="L30" s="60"/>
      <c r="M30" s="60"/>
      <c r="N30" s="61"/>
      <c r="O30" s="62"/>
    </row>
    <row r="31" spans="1:16">
      <c r="L31" s="60"/>
      <c r="M31" s="60"/>
      <c r="N31" s="61"/>
      <c r="O31" s="62"/>
    </row>
    <row r="32" spans="1:16">
      <c r="L32" s="60"/>
      <c r="M32" s="60"/>
      <c r="N32" s="61"/>
      <c r="O32" s="62"/>
    </row>
    <row r="33" spans="12:15">
      <c r="L33" s="60"/>
      <c r="M33" s="60"/>
      <c r="N33" s="61"/>
      <c r="O33" s="62"/>
    </row>
    <row r="34" spans="12:15">
      <c r="L34" s="60"/>
      <c r="M34" s="60"/>
      <c r="N34" s="61"/>
      <c r="O34" s="62"/>
    </row>
    <row r="35" spans="12:15">
      <c r="L35" s="60"/>
      <c r="M35" s="60"/>
      <c r="N35" s="61"/>
      <c r="O35" s="62"/>
    </row>
  </sheetData>
  <mergeCells count="4">
    <mergeCell ref="D2:L3"/>
    <mergeCell ref="C6:E6"/>
    <mergeCell ref="G6:J6"/>
    <mergeCell ref="L6:O6"/>
  </mergeCells>
  <hyperlinks>
    <hyperlink ref="C14" r:id="rId1" xr:uid="{A537F956-DF75-4C3D-A681-7095F5809FE7}"/>
    <hyperlink ref="C15" r:id="rId2" xr:uid="{EA18FBDC-A90A-4BC8-B10A-43A3F7EA28EF}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15838DB950474CB877466D3FF0257A" ma:contentTypeVersion="5" ma:contentTypeDescription="Crear nuevo documento." ma:contentTypeScope="" ma:versionID="585b725cf788e42d7a908126cd0ebb69">
  <xsd:schema xmlns:xsd="http://www.w3.org/2001/XMLSchema" xmlns:xs="http://www.w3.org/2001/XMLSchema" xmlns:p="http://schemas.microsoft.com/office/2006/metadata/properties" xmlns:ns3="3e875df0-e35e-4a56-a560-0cb97df066aa" xmlns:ns4="9b16093d-9589-4dce-a92a-69c4e8b8f196" targetNamespace="http://schemas.microsoft.com/office/2006/metadata/properties" ma:root="true" ma:fieldsID="7860d11a77aad39db4dc94fe4b1ee114" ns3:_="" ns4:_="">
    <xsd:import namespace="3e875df0-e35e-4a56-a560-0cb97df066aa"/>
    <xsd:import namespace="9b16093d-9589-4dce-a92a-69c4e8b8f1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75df0-e35e-4a56-a560-0cb97df06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6093d-9589-4dce-a92a-69c4e8b8f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B531F-49F6-47D5-8B3E-4513BF417F4C}"/>
</file>

<file path=customXml/itemProps2.xml><?xml version="1.0" encoding="utf-8"?>
<ds:datastoreItem xmlns:ds="http://schemas.openxmlformats.org/officeDocument/2006/customXml" ds:itemID="{8DE45F8B-756D-42D2-9DBC-2A5BB7398DF0}"/>
</file>

<file path=customXml/itemProps3.xml><?xml version="1.0" encoding="utf-8"?>
<ds:datastoreItem xmlns:ds="http://schemas.openxmlformats.org/officeDocument/2006/customXml" ds:itemID="{BCC482C4-E446-4E73-9E94-A6EE261F2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/>
  <cp:revision/>
  <dcterms:created xsi:type="dcterms:W3CDTF">2022-11-07T20:04:29Z</dcterms:created>
  <dcterms:modified xsi:type="dcterms:W3CDTF">2023-07-24T22:25:43Z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0x0101000B15838DB950474CB877466D3FF0257A</vt:lpwstr>
  </property>
</Properties>
</file>